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sh's Documents\Blog\Spreadsheets\"/>
    </mc:Choice>
  </mc:AlternateContent>
  <xr:revisionPtr revIDLastSave="0" documentId="13_ncr:1_{38EDC762-F970-4195-9E96-6EBA192596B8}" xr6:coauthVersionLast="46" xr6:coauthVersionMax="46" xr10:uidLastSave="{00000000-0000-0000-0000-000000000000}"/>
  <bookViews>
    <workbookView xWindow="-135" yWindow="-135" windowWidth="29070" windowHeight="16020" xr2:uid="{F6FE89F3-8309-4945-A0FD-6E3C874FF361}"/>
  </bookViews>
  <sheets>
    <sheet name="15 years" sheetId="1" r:id="rId1"/>
    <sheet name="20 years" sheetId="4" r:id="rId2"/>
    <sheet name="Tax Calcs" sheetId="3" r:id="rId3"/>
    <sheet name="Std FIRE" sheetId="6" r:id="rId4"/>
    <sheet name="Notes" sheetId="2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6" l="1"/>
  <c r="H17" i="4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17" i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G6" i="3"/>
  <c r="G5" i="3"/>
  <c r="G8" i="3"/>
  <c r="G3" i="3" l="1"/>
  <c r="G20" i="3" s="1"/>
  <c r="G21" i="3"/>
  <c r="F21" i="3"/>
  <c r="I17" i="6"/>
  <c r="J17" i="6" s="1"/>
  <c r="G17" i="6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G31" i="6" s="1"/>
  <c r="G32" i="6" s="1"/>
  <c r="G33" i="6" s="1"/>
  <c r="G34" i="6" s="1"/>
  <c r="G35" i="6" s="1"/>
  <c r="G36" i="6" s="1"/>
  <c r="G37" i="6" s="1"/>
  <c r="G38" i="6" s="1"/>
  <c r="G39" i="6" s="1"/>
  <c r="G40" i="6" s="1"/>
  <c r="G41" i="6" s="1"/>
  <c r="G42" i="6" s="1"/>
  <c r="G43" i="6" s="1"/>
  <c r="G44" i="6" s="1"/>
  <c r="G45" i="6" s="1"/>
  <c r="G46" i="6" s="1"/>
  <c r="G47" i="6" s="1"/>
  <c r="G48" i="6" s="1"/>
  <c r="G49" i="6" s="1"/>
  <c r="G50" i="6" s="1"/>
  <c r="G51" i="6" s="1"/>
  <c r="G52" i="6" s="1"/>
  <c r="G53" i="6" s="1"/>
  <c r="G54" i="6" s="1"/>
  <c r="G55" i="6" s="1"/>
  <c r="G56" i="6" s="1"/>
  <c r="G57" i="6" s="1"/>
  <c r="G58" i="6" s="1"/>
  <c r="J16" i="6"/>
  <c r="H16" i="6"/>
  <c r="C4" i="6"/>
  <c r="G9" i="3" l="1"/>
  <c r="G17" i="3"/>
  <c r="G18" i="3"/>
  <c r="G19" i="3"/>
  <c r="I18" i="6"/>
  <c r="J17" i="4"/>
  <c r="J18" i="4" s="1"/>
  <c r="K16" i="4"/>
  <c r="I16" i="4"/>
  <c r="C4" i="4"/>
  <c r="F3" i="3" s="1"/>
  <c r="F6" i="3" s="1"/>
  <c r="J17" i="1"/>
  <c r="F17" i="3" l="1"/>
  <c r="F5" i="3"/>
  <c r="F18" i="3"/>
  <c r="F9" i="3"/>
  <c r="F19" i="3"/>
  <c r="F8" i="3"/>
  <c r="F20" i="3"/>
  <c r="G23" i="3"/>
  <c r="G24" i="3" s="1"/>
  <c r="J18" i="6"/>
  <c r="I19" i="6"/>
  <c r="H37" i="4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H54" i="4" s="1"/>
  <c r="H55" i="4" s="1"/>
  <c r="H56" i="4" s="1"/>
  <c r="H57" i="4" s="1"/>
  <c r="H58" i="4" s="1"/>
  <c r="K18" i="4"/>
  <c r="J19" i="4"/>
  <c r="K17" i="4"/>
  <c r="E21" i="3"/>
  <c r="B8" i="3"/>
  <c r="B7" i="3"/>
  <c r="B6" i="3"/>
  <c r="B5" i="3"/>
  <c r="F23" i="3" l="1"/>
  <c r="F24" i="3" s="1"/>
  <c r="G7" i="3"/>
  <c r="G11" i="3" s="1"/>
  <c r="G12" i="3" s="1"/>
  <c r="F7" i="3"/>
  <c r="F11" i="3" s="1"/>
  <c r="J19" i="6"/>
  <c r="I20" i="6"/>
  <c r="K19" i="4"/>
  <c r="J20" i="4"/>
  <c r="F12" i="3" l="1"/>
  <c r="C5" i="4"/>
  <c r="J20" i="6"/>
  <c r="I21" i="6"/>
  <c r="K20" i="4"/>
  <c r="J21" i="4"/>
  <c r="J21" i="6" l="1"/>
  <c r="I22" i="6"/>
  <c r="K21" i="4"/>
  <c r="J22" i="4"/>
  <c r="J22" i="6" l="1"/>
  <c r="I23" i="6"/>
  <c r="K22" i="4"/>
  <c r="J23" i="4"/>
  <c r="J23" i="6" l="1"/>
  <c r="I24" i="6"/>
  <c r="K23" i="4"/>
  <c r="J24" i="4"/>
  <c r="J24" i="6" l="1"/>
  <c r="I25" i="6"/>
  <c r="K24" i="4"/>
  <c r="J25" i="4"/>
  <c r="J25" i="6" l="1"/>
  <c r="I26" i="6"/>
  <c r="K25" i="4"/>
  <c r="J26" i="4"/>
  <c r="J26" i="6" l="1"/>
  <c r="I27" i="6"/>
  <c r="K26" i="4"/>
  <c r="J27" i="4"/>
  <c r="K16" i="1"/>
  <c r="J18" i="1"/>
  <c r="K17" i="1"/>
  <c r="I16" i="1"/>
  <c r="H32" i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J27" i="6" l="1"/>
  <c r="I28" i="6"/>
  <c r="J28" i="4"/>
  <c r="K27" i="4"/>
  <c r="J19" i="1"/>
  <c r="K18" i="1"/>
  <c r="C4" i="1"/>
  <c r="E3" i="3" s="1"/>
  <c r="E8" i="3" s="1"/>
  <c r="E7" i="3" l="1"/>
  <c r="E5" i="3"/>
  <c r="E6" i="3"/>
  <c r="J28" i="6"/>
  <c r="I29" i="6"/>
  <c r="I30" i="6" s="1"/>
  <c r="K28" i="4"/>
  <c r="J29" i="4"/>
  <c r="E9" i="3"/>
  <c r="E20" i="3"/>
  <c r="E19" i="3"/>
  <c r="E18" i="3"/>
  <c r="E17" i="3"/>
  <c r="J20" i="1"/>
  <c r="K19" i="1"/>
  <c r="J30" i="6" l="1"/>
  <c r="I31" i="6"/>
  <c r="J29" i="6"/>
  <c r="K29" i="4"/>
  <c r="J30" i="4"/>
  <c r="E11" i="3"/>
  <c r="C5" i="1" s="1"/>
  <c r="E23" i="3"/>
  <c r="E24" i="3" s="1"/>
  <c r="J21" i="1"/>
  <c r="K20" i="1"/>
  <c r="C6" i="4" l="1"/>
  <c r="C8" i="4" s="1"/>
  <c r="C6" i="6"/>
  <c r="I32" i="6"/>
  <c r="J31" i="6"/>
  <c r="K30" i="4"/>
  <c r="J31" i="4"/>
  <c r="C6" i="1"/>
  <c r="C8" i="1" s="1"/>
  <c r="C9" i="1" s="1"/>
  <c r="E12" i="3"/>
  <c r="J22" i="1"/>
  <c r="K21" i="1"/>
  <c r="L32" i="4" l="1"/>
  <c r="L33" i="4" s="1"/>
  <c r="L34" i="4" s="1"/>
  <c r="L35" i="4" s="1"/>
  <c r="L36" i="4" s="1"/>
  <c r="L37" i="4" s="1"/>
  <c r="L38" i="4" s="1"/>
  <c r="L39" i="4" s="1"/>
  <c r="L40" i="4" s="1"/>
  <c r="L41" i="4" s="1"/>
  <c r="L42" i="4" s="1"/>
  <c r="L43" i="4" s="1"/>
  <c r="L44" i="4" s="1"/>
  <c r="L45" i="4" s="1"/>
  <c r="L47" i="4"/>
  <c r="L48" i="4" s="1"/>
  <c r="L49" i="4" s="1"/>
  <c r="L50" i="4" s="1"/>
  <c r="L51" i="4" s="1"/>
  <c r="L52" i="4" s="1"/>
  <c r="L53" i="4" s="1"/>
  <c r="L54" i="4" s="1"/>
  <c r="L55" i="4" s="1"/>
  <c r="L56" i="4" s="1"/>
  <c r="L57" i="4" s="1"/>
  <c r="L58" i="4" s="1"/>
  <c r="L17" i="4"/>
  <c r="L18" i="4" s="1"/>
  <c r="C8" i="6"/>
  <c r="K32" i="6"/>
  <c r="K33" i="6" s="1"/>
  <c r="K34" i="6" s="1"/>
  <c r="K35" i="6" s="1"/>
  <c r="K36" i="6" s="1"/>
  <c r="K37" i="6" s="1"/>
  <c r="K38" i="6" s="1"/>
  <c r="K39" i="6" s="1"/>
  <c r="K40" i="6" s="1"/>
  <c r="K41" i="6" s="1"/>
  <c r="K42" i="6" s="1"/>
  <c r="K43" i="6" s="1"/>
  <c r="K44" i="6" s="1"/>
  <c r="K45" i="6" s="1"/>
  <c r="K46" i="6" s="1"/>
  <c r="K47" i="6"/>
  <c r="K48" i="6" s="1"/>
  <c r="K49" i="6" s="1"/>
  <c r="K50" i="6" s="1"/>
  <c r="K51" i="6" s="1"/>
  <c r="K52" i="6" s="1"/>
  <c r="K53" i="6" s="1"/>
  <c r="K54" i="6" s="1"/>
  <c r="K55" i="6" s="1"/>
  <c r="K56" i="6" s="1"/>
  <c r="K57" i="6" s="1"/>
  <c r="K58" i="6" s="1"/>
  <c r="K17" i="6"/>
  <c r="K18" i="6" s="1"/>
  <c r="J32" i="6"/>
  <c r="I33" i="6"/>
  <c r="C9" i="4"/>
  <c r="G17" i="4"/>
  <c r="M17" i="4" s="1"/>
  <c r="K31" i="4"/>
  <c r="J32" i="4"/>
  <c r="L32" i="1"/>
  <c r="L47" i="1"/>
  <c r="L17" i="1"/>
  <c r="J23" i="1"/>
  <c r="K22" i="1"/>
  <c r="K19" i="6" l="1"/>
  <c r="F17" i="6"/>
  <c r="C9" i="6"/>
  <c r="I34" i="6"/>
  <c r="J33" i="6"/>
  <c r="G18" i="4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E17" i="4"/>
  <c r="L19" i="4"/>
  <c r="G17" i="1"/>
  <c r="E17" i="1" s="1"/>
  <c r="J33" i="4"/>
  <c r="K32" i="4"/>
  <c r="L46" i="4"/>
  <c r="L48" i="1"/>
  <c r="L18" i="1"/>
  <c r="L33" i="1"/>
  <c r="J24" i="1"/>
  <c r="K23" i="1"/>
  <c r="L17" i="6" l="1"/>
  <c r="F18" i="6"/>
  <c r="E17" i="6"/>
  <c r="K20" i="6"/>
  <c r="I35" i="6"/>
  <c r="J34" i="6"/>
  <c r="M18" i="4"/>
  <c r="M32" i="4"/>
  <c r="M17" i="1"/>
  <c r="G18" i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L20" i="4"/>
  <c r="M19" i="4"/>
  <c r="I17" i="4"/>
  <c r="E18" i="4"/>
  <c r="J34" i="4"/>
  <c r="K33" i="4"/>
  <c r="M33" i="4"/>
  <c r="L19" i="1"/>
  <c r="L34" i="1"/>
  <c r="L49" i="1"/>
  <c r="I17" i="1"/>
  <c r="J25" i="1"/>
  <c r="K24" i="1"/>
  <c r="K21" i="6" l="1"/>
  <c r="H17" i="6"/>
  <c r="E18" i="6"/>
  <c r="F19" i="6"/>
  <c r="L18" i="6"/>
  <c r="E18" i="1"/>
  <c r="E19" i="1" s="1"/>
  <c r="I36" i="6"/>
  <c r="J35" i="6"/>
  <c r="M18" i="1"/>
  <c r="I18" i="4"/>
  <c r="E19" i="4"/>
  <c r="M20" i="4"/>
  <c r="L21" i="4"/>
  <c r="K34" i="4"/>
  <c r="J35" i="4"/>
  <c r="M34" i="4"/>
  <c r="L50" i="1"/>
  <c r="L35" i="1"/>
  <c r="M19" i="1"/>
  <c r="L20" i="1"/>
  <c r="J26" i="1"/>
  <c r="K25" i="1"/>
  <c r="F20" i="6" l="1"/>
  <c r="L19" i="6"/>
  <c r="E19" i="6"/>
  <c r="H18" i="6"/>
  <c r="I18" i="1"/>
  <c r="K22" i="6"/>
  <c r="J36" i="6"/>
  <c r="I37" i="6"/>
  <c r="M21" i="4"/>
  <c r="L22" i="4"/>
  <c r="I19" i="4"/>
  <c r="E20" i="4"/>
  <c r="K35" i="4"/>
  <c r="J36" i="4"/>
  <c r="M35" i="4"/>
  <c r="L51" i="1"/>
  <c r="L36" i="1"/>
  <c r="L21" i="1"/>
  <c r="M20" i="1"/>
  <c r="E20" i="1"/>
  <c r="I19" i="1"/>
  <c r="J27" i="1"/>
  <c r="K26" i="1"/>
  <c r="K23" i="6" l="1"/>
  <c r="H19" i="6"/>
  <c r="E20" i="6"/>
  <c r="F21" i="6"/>
  <c r="L20" i="6"/>
  <c r="I38" i="6"/>
  <c r="J37" i="6"/>
  <c r="I20" i="4"/>
  <c r="E21" i="4"/>
  <c r="M22" i="4"/>
  <c r="L23" i="4"/>
  <c r="J37" i="4"/>
  <c r="K36" i="4"/>
  <c r="M36" i="4"/>
  <c r="L37" i="1"/>
  <c r="M21" i="1"/>
  <c r="L22" i="1"/>
  <c r="L52" i="1"/>
  <c r="E21" i="1"/>
  <c r="I20" i="1"/>
  <c r="J28" i="1"/>
  <c r="K27" i="1"/>
  <c r="F22" i="6" l="1"/>
  <c r="L21" i="6"/>
  <c r="H20" i="6"/>
  <c r="E21" i="6"/>
  <c r="K24" i="6"/>
  <c r="I39" i="6"/>
  <c r="J38" i="6"/>
  <c r="M23" i="4"/>
  <c r="L24" i="4"/>
  <c r="I21" i="4"/>
  <c r="E22" i="4"/>
  <c r="J38" i="4"/>
  <c r="K37" i="4"/>
  <c r="M37" i="4"/>
  <c r="L53" i="1"/>
  <c r="L54" i="1" s="1"/>
  <c r="L23" i="1"/>
  <c r="M22" i="1"/>
  <c r="L38" i="1"/>
  <c r="E22" i="1"/>
  <c r="I21" i="1"/>
  <c r="J29" i="1"/>
  <c r="K28" i="1"/>
  <c r="L55" i="1" l="1"/>
  <c r="H21" i="6"/>
  <c r="E22" i="6"/>
  <c r="K25" i="6"/>
  <c r="F23" i="6"/>
  <c r="L22" i="6"/>
  <c r="I40" i="6"/>
  <c r="J39" i="6"/>
  <c r="E23" i="4"/>
  <c r="I22" i="4"/>
  <c r="M24" i="4"/>
  <c r="L25" i="4"/>
  <c r="K38" i="4"/>
  <c r="J39" i="4"/>
  <c r="M38" i="4"/>
  <c r="L39" i="1"/>
  <c r="L24" i="1"/>
  <c r="M23" i="1"/>
  <c r="E23" i="1"/>
  <c r="I22" i="1"/>
  <c r="J30" i="1"/>
  <c r="K29" i="1"/>
  <c r="L56" i="1" l="1"/>
  <c r="F24" i="6"/>
  <c r="L23" i="6"/>
  <c r="K26" i="6"/>
  <c r="H22" i="6"/>
  <c r="E23" i="6"/>
  <c r="J40" i="6"/>
  <c r="I41" i="6"/>
  <c r="M25" i="4"/>
  <c r="L26" i="4"/>
  <c r="E24" i="4"/>
  <c r="I23" i="4"/>
  <c r="J40" i="4"/>
  <c r="K39" i="4"/>
  <c r="M39" i="4"/>
  <c r="M24" i="1"/>
  <c r="L25" i="1"/>
  <c r="L40" i="1"/>
  <c r="E24" i="1"/>
  <c r="I23" i="1"/>
  <c r="J31" i="1"/>
  <c r="K30" i="1"/>
  <c r="L57" i="1" l="1"/>
  <c r="H23" i="6"/>
  <c r="E24" i="6"/>
  <c r="K27" i="6"/>
  <c r="F25" i="6"/>
  <c r="L24" i="6"/>
  <c r="I42" i="6"/>
  <c r="J41" i="6"/>
  <c r="I24" i="4"/>
  <c r="E25" i="4"/>
  <c r="M26" i="4"/>
  <c r="L27" i="4"/>
  <c r="J41" i="4"/>
  <c r="K40" i="4"/>
  <c r="M40" i="4"/>
  <c r="L41" i="1"/>
  <c r="L26" i="1"/>
  <c r="M25" i="1"/>
  <c r="E25" i="1"/>
  <c r="I24" i="1"/>
  <c r="J32" i="1"/>
  <c r="M32" i="1" s="1"/>
  <c r="K31" i="1"/>
  <c r="L58" i="1" l="1"/>
  <c r="K28" i="6"/>
  <c r="F26" i="6"/>
  <c r="L25" i="6"/>
  <c r="E25" i="6"/>
  <c r="H24" i="6"/>
  <c r="I43" i="6"/>
  <c r="J42" i="6"/>
  <c r="L28" i="4"/>
  <c r="M27" i="4"/>
  <c r="I25" i="4"/>
  <c r="E26" i="4"/>
  <c r="J42" i="4"/>
  <c r="K41" i="4"/>
  <c r="M41" i="4"/>
  <c r="L27" i="1"/>
  <c r="M26" i="1"/>
  <c r="L42" i="1"/>
  <c r="E26" i="1"/>
  <c r="I25" i="1"/>
  <c r="J33" i="1"/>
  <c r="M33" i="1" s="1"/>
  <c r="K32" i="1"/>
  <c r="F27" i="6" l="1"/>
  <c r="L26" i="6"/>
  <c r="H25" i="6"/>
  <c r="E26" i="6"/>
  <c r="K29" i="6"/>
  <c r="J43" i="6"/>
  <c r="I44" i="6"/>
  <c r="E27" i="4"/>
  <c r="I26" i="4"/>
  <c r="M28" i="4"/>
  <c r="L29" i="4"/>
  <c r="K42" i="4"/>
  <c r="J43" i="4"/>
  <c r="M42" i="4"/>
  <c r="L43" i="1"/>
  <c r="M27" i="1"/>
  <c r="L28" i="1"/>
  <c r="E27" i="1"/>
  <c r="I26" i="1"/>
  <c r="J34" i="1"/>
  <c r="M34" i="1" s="1"/>
  <c r="K33" i="1"/>
  <c r="H26" i="6" l="1"/>
  <c r="E27" i="6"/>
  <c r="K30" i="6"/>
  <c r="F28" i="6"/>
  <c r="L27" i="6"/>
  <c r="J44" i="6"/>
  <c r="I45" i="6"/>
  <c r="L30" i="4"/>
  <c r="M29" i="4"/>
  <c r="E28" i="4"/>
  <c r="I27" i="4"/>
  <c r="K43" i="4"/>
  <c r="J44" i="4"/>
  <c r="M43" i="4"/>
  <c r="L29" i="1"/>
  <c r="M28" i="1"/>
  <c r="L44" i="1"/>
  <c r="E28" i="1"/>
  <c r="I27" i="1"/>
  <c r="J35" i="1"/>
  <c r="M35" i="1" s="1"/>
  <c r="K34" i="1"/>
  <c r="F29" i="6" l="1"/>
  <c r="L28" i="6"/>
  <c r="K31" i="6"/>
  <c r="H27" i="6"/>
  <c r="E28" i="6"/>
  <c r="I46" i="6"/>
  <c r="J45" i="6"/>
  <c r="E29" i="4"/>
  <c r="I28" i="4"/>
  <c r="M30" i="4"/>
  <c r="L31" i="4"/>
  <c r="M31" i="4" s="1"/>
  <c r="J45" i="4"/>
  <c r="K44" i="4"/>
  <c r="M44" i="4"/>
  <c r="L45" i="1"/>
  <c r="M29" i="1"/>
  <c r="L30" i="1"/>
  <c r="E29" i="1"/>
  <c r="I28" i="1"/>
  <c r="J36" i="1"/>
  <c r="M36" i="1" s="1"/>
  <c r="K35" i="1"/>
  <c r="E29" i="6" l="1"/>
  <c r="H28" i="6"/>
  <c r="F30" i="6"/>
  <c r="L29" i="6"/>
  <c r="I47" i="6"/>
  <c r="J46" i="6"/>
  <c r="I29" i="4"/>
  <c r="E30" i="4"/>
  <c r="K45" i="4"/>
  <c r="J46" i="4"/>
  <c r="M45" i="4"/>
  <c r="L31" i="1"/>
  <c r="M31" i="1" s="1"/>
  <c r="M30" i="1"/>
  <c r="L46" i="1"/>
  <c r="E30" i="1"/>
  <c r="I29" i="1"/>
  <c r="J37" i="1"/>
  <c r="M37" i="1" s="1"/>
  <c r="K36" i="1"/>
  <c r="F31" i="6" l="1"/>
  <c r="L30" i="6"/>
  <c r="E30" i="6"/>
  <c r="H29" i="6"/>
  <c r="J47" i="6"/>
  <c r="I48" i="6"/>
  <c r="E31" i="4"/>
  <c r="I30" i="4"/>
  <c r="K46" i="4"/>
  <c r="J47" i="4"/>
  <c r="M46" i="4"/>
  <c r="E31" i="1"/>
  <c r="E32" i="1" s="1"/>
  <c r="E33" i="1" s="1"/>
  <c r="E34" i="1" s="1"/>
  <c r="E35" i="1" s="1"/>
  <c r="E36" i="1" s="1"/>
  <c r="E37" i="1" s="1"/>
  <c r="E38" i="1" s="1"/>
  <c r="I30" i="1"/>
  <c r="J38" i="1"/>
  <c r="M38" i="1" s="1"/>
  <c r="K37" i="1"/>
  <c r="E31" i="6" l="1"/>
  <c r="H30" i="6"/>
  <c r="F32" i="6"/>
  <c r="L31" i="6"/>
  <c r="J48" i="6"/>
  <c r="I49" i="6"/>
  <c r="E32" i="4"/>
  <c r="I31" i="4"/>
  <c r="K47" i="4"/>
  <c r="J48" i="4"/>
  <c r="M47" i="4"/>
  <c r="I31" i="1"/>
  <c r="J39" i="1"/>
  <c r="M39" i="1" s="1"/>
  <c r="K38" i="1"/>
  <c r="E39" i="1" l="1"/>
  <c r="F33" i="6"/>
  <c r="L32" i="6"/>
  <c r="E32" i="6"/>
  <c r="H31" i="6"/>
  <c r="I50" i="6"/>
  <c r="J49" i="6"/>
  <c r="E33" i="4"/>
  <c r="I32" i="4"/>
  <c r="F36" i="4"/>
  <c r="J49" i="4"/>
  <c r="K48" i="4"/>
  <c r="M48" i="4"/>
  <c r="F32" i="1"/>
  <c r="I32" i="1"/>
  <c r="J40" i="1"/>
  <c r="M40" i="1" s="1"/>
  <c r="K39" i="1"/>
  <c r="E40" i="1" l="1"/>
  <c r="H32" i="6"/>
  <c r="E33" i="6"/>
  <c r="F34" i="6"/>
  <c r="L33" i="6"/>
  <c r="I51" i="6"/>
  <c r="J50" i="6"/>
  <c r="E34" i="4"/>
  <c r="I33" i="4"/>
  <c r="J50" i="4"/>
  <c r="K49" i="4"/>
  <c r="M49" i="4"/>
  <c r="I33" i="1"/>
  <c r="J41" i="1"/>
  <c r="M41" i="1" s="1"/>
  <c r="K40" i="1"/>
  <c r="E41" i="1" l="1"/>
  <c r="F35" i="6"/>
  <c r="L34" i="6"/>
  <c r="E34" i="6"/>
  <c r="H33" i="6"/>
  <c r="J51" i="6"/>
  <c r="I52" i="6"/>
  <c r="E35" i="4"/>
  <c r="I34" i="4"/>
  <c r="K50" i="4"/>
  <c r="J51" i="4"/>
  <c r="M50" i="4"/>
  <c r="I34" i="1"/>
  <c r="J42" i="1"/>
  <c r="M42" i="1" s="1"/>
  <c r="K41" i="1"/>
  <c r="E42" i="1" l="1"/>
  <c r="H34" i="6"/>
  <c r="E35" i="6"/>
  <c r="F36" i="6"/>
  <c r="L35" i="6"/>
  <c r="J52" i="6"/>
  <c r="I53" i="6"/>
  <c r="I35" i="4"/>
  <c r="E36" i="4"/>
  <c r="K51" i="4"/>
  <c r="J52" i="4"/>
  <c r="M51" i="4"/>
  <c r="I35" i="1"/>
  <c r="J43" i="1"/>
  <c r="M43" i="1" s="1"/>
  <c r="K42" i="1"/>
  <c r="E43" i="1" l="1"/>
  <c r="F37" i="6"/>
  <c r="L36" i="6"/>
  <c r="H35" i="6"/>
  <c r="E36" i="6"/>
  <c r="J53" i="6"/>
  <c r="I54" i="6"/>
  <c r="E37" i="4"/>
  <c r="I36" i="4"/>
  <c r="K52" i="4"/>
  <c r="J53" i="4"/>
  <c r="M52" i="4"/>
  <c r="I36" i="1"/>
  <c r="J44" i="1"/>
  <c r="M44" i="1" s="1"/>
  <c r="K43" i="1"/>
  <c r="E44" i="1" l="1"/>
  <c r="H36" i="6"/>
  <c r="E37" i="6"/>
  <c r="F38" i="6"/>
  <c r="L37" i="6"/>
  <c r="I55" i="6"/>
  <c r="J54" i="6"/>
  <c r="E38" i="4"/>
  <c r="I37" i="4"/>
  <c r="K53" i="4"/>
  <c r="J54" i="4"/>
  <c r="M53" i="4"/>
  <c r="I37" i="1"/>
  <c r="J45" i="1"/>
  <c r="M45" i="1" s="1"/>
  <c r="K44" i="1"/>
  <c r="E45" i="1" l="1"/>
  <c r="F39" i="6"/>
  <c r="L38" i="6"/>
  <c r="E38" i="6"/>
  <c r="H37" i="6"/>
  <c r="J55" i="6"/>
  <c r="I56" i="6"/>
  <c r="I38" i="4"/>
  <c r="E39" i="4"/>
  <c r="K54" i="4"/>
  <c r="J55" i="4"/>
  <c r="M54" i="4"/>
  <c r="I38" i="1"/>
  <c r="J46" i="1"/>
  <c r="M46" i="1" s="1"/>
  <c r="K45" i="1"/>
  <c r="E46" i="1" l="1"/>
  <c r="H38" i="6"/>
  <c r="E39" i="6"/>
  <c r="F40" i="6"/>
  <c r="L39" i="6"/>
  <c r="J56" i="6"/>
  <c r="I57" i="6"/>
  <c r="E40" i="4"/>
  <c r="I39" i="4"/>
  <c r="J56" i="4"/>
  <c r="K55" i="4"/>
  <c r="M55" i="4"/>
  <c r="I39" i="1"/>
  <c r="J47" i="1"/>
  <c r="M47" i="1" s="1"/>
  <c r="K46" i="1"/>
  <c r="E47" i="1" l="1"/>
  <c r="F41" i="6"/>
  <c r="L40" i="6"/>
  <c r="H39" i="6"/>
  <c r="E40" i="6"/>
  <c r="J57" i="6"/>
  <c r="I58" i="6"/>
  <c r="J58" i="6" s="1"/>
  <c r="E41" i="4"/>
  <c r="I40" i="4"/>
  <c r="J57" i="4"/>
  <c r="K56" i="4"/>
  <c r="M56" i="4"/>
  <c r="I40" i="1"/>
  <c r="J48" i="1"/>
  <c r="M48" i="1" s="1"/>
  <c r="K47" i="1"/>
  <c r="E48" i="1" l="1"/>
  <c r="E41" i="6"/>
  <c r="H40" i="6"/>
  <c r="F42" i="6"/>
  <c r="L41" i="6"/>
  <c r="I41" i="4"/>
  <c r="E42" i="4"/>
  <c r="J58" i="4"/>
  <c r="K57" i="4"/>
  <c r="M57" i="4"/>
  <c r="I41" i="1"/>
  <c r="J49" i="1"/>
  <c r="M49" i="1" s="1"/>
  <c r="K48" i="1"/>
  <c r="E49" i="1" l="1"/>
  <c r="F43" i="6"/>
  <c r="L42" i="6"/>
  <c r="E42" i="6"/>
  <c r="H41" i="6"/>
  <c r="E43" i="4"/>
  <c r="I42" i="4"/>
  <c r="K58" i="4"/>
  <c r="M58" i="4"/>
  <c r="I42" i="1"/>
  <c r="J50" i="1"/>
  <c r="M50" i="1" s="1"/>
  <c r="K49" i="1"/>
  <c r="E50" i="1" l="1"/>
  <c r="H42" i="6"/>
  <c r="E43" i="6"/>
  <c r="F44" i="6"/>
  <c r="L43" i="6"/>
  <c r="I43" i="4"/>
  <c r="E44" i="4"/>
  <c r="I43" i="1"/>
  <c r="J51" i="1"/>
  <c r="M51" i="1" s="1"/>
  <c r="K50" i="1"/>
  <c r="E51" i="1" l="1"/>
  <c r="F45" i="6"/>
  <c r="L44" i="6"/>
  <c r="E44" i="6"/>
  <c r="H43" i="6"/>
  <c r="I44" i="4"/>
  <c r="E45" i="4"/>
  <c r="I44" i="1"/>
  <c r="J52" i="1"/>
  <c r="M52" i="1" s="1"/>
  <c r="K51" i="1"/>
  <c r="E52" i="1" l="1"/>
  <c r="H44" i="6"/>
  <c r="E45" i="6"/>
  <c r="F46" i="6"/>
  <c r="L45" i="6"/>
  <c r="E46" i="4"/>
  <c r="I45" i="4"/>
  <c r="I45" i="1"/>
  <c r="J53" i="1"/>
  <c r="K52" i="1"/>
  <c r="E53" i="1" l="1"/>
  <c r="M53" i="1"/>
  <c r="J54" i="1"/>
  <c r="F47" i="6"/>
  <c r="L46" i="6"/>
  <c r="H45" i="6"/>
  <c r="E46" i="6"/>
  <c r="E47" i="4"/>
  <c r="I46" i="4"/>
  <c r="I46" i="1"/>
  <c r="K53" i="1"/>
  <c r="E54" i="1" l="1"/>
  <c r="J55" i="1"/>
  <c r="K54" i="1"/>
  <c r="M54" i="1"/>
  <c r="H46" i="6"/>
  <c r="E47" i="6"/>
  <c r="F48" i="6"/>
  <c r="L47" i="6"/>
  <c r="I47" i="4"/>
  <c r="E48" i="4"/>
  <c r="I47" i="1"/>
  <c r="E55" i="1" l="1"/>
  <c r="J56" i="1"/>
  <c r="K55" i="1"/>
  <c r="M55" i="1"/>
  <c r="F49" i="6"/>
  <c r="L48" i="6"/>
  <c r="E48" i="6"/>
  <c r="H47" i="6"/>
  <c r="I48" i="4"/>
  <c r="E49" i="4"/>
  <c r="I48" i="1"/>
  <c r="E56" i="1" l="1"/>
  <c r="J57" i="1"/>
  <c r="K56" i="1"/>
  <c r="M56" i="1"/>
  <c r="H48" i="6"/>
  <c r="E49" i="6"/>
  <c r="F50" i="6"/>
  <c r="L49" i="6"/>
  <c r="E50" i="4"/>
  <c r="I49" i="4"/>
  <c r="I49" i="1"/>
  <c r="E57" i="1" l="1"/>
  <c r="K57" i="1"/>
  <c r="J58" i="1"/>
  <c r="M57" i="1"/>
  <c r="F51" i="6"/>
  <c r="L50" i="6"/>
  <c r="H49" i="6"/>
  <c r="E50" i="6"/>
  <c r="I50" i="4"/>
  <c r="E51" i="4"/>
  <c r="I50" i="1"/>
  <c r="E58" i="1" l="1"/>
  <c r="K58" i="1"/>
  <c r="M58" i="1"/>
  <c r="E51" i="6"/>
  <c r="H50" i="6"/>
  <c r="F52" i="6"/>
  <c r="L51" i="6"/>
  <c r="E52" i="4"/>
  <c r="I51" i="4"/>
  <c r="I51" i="1"/>
  <c r="F53" i="6" l="1"/>
  <c r="L52" i="6"/>
  <c r="E52" i="6"/>
  <c r="H51" i="6"/>
  <c r="I52" i="4"/>
  <c r="E53" i="4"/>
  <c r="I52" i="1"/>
  <c r="I54" i="1" l="1"/>
  <c r="H52" i="6"/>
  <c r="E53" i="6"/>
  <c r="F54" i="6"/>
  <c r="L53" i="6"/>
  <c r="I53" i="4"/>
  <c r="E54" i="4"/>
  <c r="I53" i="1"/>
  <c r="I55" i="1" l="1"/>
  <c r="F55" i="6"/>
  <c r="L54" i="6"/>
  <c r="H53" i="6"/>
  <c r="E54" i="6"/>
  <c r="I54" i="4"/>
  <c r="E55" i="4"/>
  <c r="I56" i="1" l="1"/>
  <c r="H54" i="6"/>
  <c r="E55" i="6"/>
  <c r="F56" i="6"/>
  <c r="L55" i="6"/>
  <c r="I55" i="4"/>
  <c r="E56" i="4"/>
  <c r="I57" i="1" l="1"/>
  <c r="I58" i="1"/>
  <c r="F57" i="6"/>
  <c r="L56" i="6"/>
  <c r="H55" i="6"/>
  <c r="E56" i="6"/>
  <c r="E57" i="4"/>
  <c r="I56" i="4"/>
  <c r="E57" i="6" l="1"/>
  <c r="H56" i="6"/>
  <c r="F58" i="6"/>
  <c r="L58" i="6" s="1"/>
  <c r="L57" i="6"/>
  <c r="I57" i="4"/>
  <c r="E58" i="4"/>
  <c r="I58" i="4" s="1"/>
  <c r="H57" i="6" l="1"/>
  <c r="E58" i="6"/>
  <c r="H58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Poh, Ashley (RTIO)</author>
    <author>FFE</author>
  </authors>
  <commentList>
    <comment ref="B10" authorId="0" shapeId="0" xr:uid="{1E6669A2-C630-4132-99A9-D05A5F6BCC78}">
      <text>
        <r>
          <rPr>
            <b/>
            <sz val="9"/>
            <color indexed="81"/>
            <rFont val="Tahoma"/>
            <charset val="1"/>
          </rPr>
          <t>Assume super and external portfolio grow at the same rate</t>
        </r>
      </text>
    </comment>
    <comment ref="B13" authorId="0" shapeId="0" xr:uid="{E29C7045-781D-4572-A9EE-24E50E748D58}">
      <text>
        <r>
          <rPr>
            <b/>
            <sz val="9"/>
            <color indexed="81"/>
            <rFont val="Tahoma"/>
            <charset val="1"/>
          </rPr>
          <t xml:space="preserve">Assume super access year is year 40
</t>
        </r>
      </text>
    </comment>
    <comment ref="J15" authorId="1" shapeId="0" xr:uid="{2A94D7CD-2CD6-45A4-9B81-9B74B3296AF8}">
      <text>
        <r>
          <rPr>
            <b/>
            <sz val="9"/>
            <color indexed="81"/>
            <rFont val="Tahoma"/>
            <charset val="1"/>
          </rPr>
          <t>Increases at the rate of inflation</t>
        </r>
      </text>
    </comment>
    <comment ref="K15" authorId="0" shapeId="0" xr:uid="{2159F979-2B9D-4B13-9DD0-F6D51DE1BFA2}">
      <text>
        <r>
          <rPr>
            <b/>
            <sz val="9"/>
            <color indexed="81"/>
            <rFont val="Tahoma"/>
            <charset val="1"/>
          </rPr>
          <t>=Cost of living/safe withdrawal rate</t>
        </r>
      </text>
    </comment>
    <comment ref="F32" authorId="0" shapeId="0" xr:uid="{F18B56C2-3784-4C4A-9C54-A74B0A0EC2EF}">
      <text>
        <r>
          <rPr>
            <b/>
            <sz val="9"/>
            <color indexed="81"/>
            <rFont val="Tahoma"/>
            <charset val="1"/>
          </rPr>
          <t>Need to choose a withdrawal rate that gives an acceptable chance of survival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Poh, Ashley (RTIO)</author>
    <author>FFE</author>
  </authors>
  <commentList>
    <comment ref="B10" authorId="0" shapeId="0" xr:uid="{0FEEEB0F-0A5D-4D04-98F1-30CCB5F12EF3}">
      <text>
        <r>
          <rPr>
            <b/>
            <sz val="9"/>
            <color indexed="81"/>
            <rFont val="Tahoma"/>
            <charset val="1"/>
          </rPr>
          <t>Assume super and external portfolio grow at the same rate</t>
        </r>
      </text>
    </comment>
    <comment ref="B13" authorId="0" shapeId="0" xr:uid="{914E61BF-CEB4-4753-BF00-A527530A0D21}">
      <text>
        <r>
          <rPr>
            <b/>
            <sz val="9"/>
            <color indexed="81"/>
            <rFont val="Tahoma"/>
            <charset val="1"/>
          </rPr>
          <t xml:space="preserve">Assume super access year is year 40
</t>
        </r>
      </text>
    </comment>
    <comment ref="J15" authorId="1" shapeId="0" xr:uid="{64BEC18F-F4E9-48F4-B874-621A1BC2AAD8}">
      <text>
        <r>
          <rPr>
            <b/>
            <sz val="9"/>
            <color indexed="81"/>
            <rFont val="Tahoma"/>
            <charset val="1"/>
          </rPr>
          <t>Increases at the rate of inflation</t>
        </r>
      </text>
    </comment>
    <comment ref="K15" authorId="0" shapeId="0" xr:uid="{6D2C00C8-4BA8-4B43-8BCE-D377E4C311E1}">
      <text>
        <r>
          <rPr>
            <b/>
            <sz val="9"/>
            <color indexed="81"/>
            <rFont val="Tahoma"/>
            <charset val="1"/>
          </rPr>
          <t>=Cost of living/safe withdrawal rate</t>
        </r>
      </text>
    </comment>
    <comment ref="F36" authorId="0" shapeId="0" xr:uid="{CE486FA0-E827-4EBC-A418-9AFA72A8A9EF}">
      <text>
        <r>
          <rPr>
            <b/>
            <sz val="9"/>
            <color indexed="81"/>
            <rFont val="Tahoma"/>
            <charset val="1"/>
          </rPr>
          <t>Need to choose a withdrawal rate that gives an acceptable chance of survival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Poh, Ashley (RTIO)</author>
    <author>FFE</author>
  </authors>
  <commentList>
    <comment ref="B10" authorId="0" shapeId="0" xr:uid="{80DCE233-8BED-4913-A314-1F36F6AF60FE}">
      <text>
        <r>
          <rPr>
            <b/>
            <sz val="9"/>
            <color indexed="81"/>
            <rFont val="Tahoma"/>
            <charset val="1"/>
          </rPr>
          <t>Assume super and external portfolio grow at the same rate</t>
        </r>
      </text>
    </comment>
    <comment ref="B13" authorId="0" shapeId="0" xr:uid="{4CE946EC-AE72-4B24-9143-852A82FC0016}">
      <text>
        <r>
          <rPr>
            <b/>
            <sz val="9"/>
            <color indexed="81"/>
            <rFont val="Tahoma"/>
            <charset val="1"/>
          </rPr>
          <t xml:space="preserve">Assume super access year is year 40
</t>
        </r>
      </text>
    </comment>
    <comment ref="I15" authorId="1" shapeId="0" xr:uid="{4C7EC500-87E4-4CC7-AF6F-5DBD3FC94C6B}">
      <text>
        <r>
          <rPr>
            <b/>
            <sz val="9"/>
            <color indexed="81"/>
            <rFont val="Tahoma"/>
            <charset val="1"/>
          </rPr>
          <t>Increases at the rate of inflation</t>
        </r>
      </text>
    </comment>
    <comment ref="J15" authorId="0" shapeId="0" xr:uid="{2479DA2C-FCEA-4308-8157-3A6333A50790}">
      <text>
        <r>
          <rPr>
            <b/>
            <sz val="9"/>
            <color indexed="81"/>
            <rFont val="Tahoma"/>
            <charset val="1"/>
          </rPr>
          <t>=Cost of living/safe withdrawal rate</t>
        </r>
      </text>
    </comment>
  </commentList>
</comments>
</file>

<file path=xl/sharedStrings.xml><?xml version="1.0" encoding="utf-8"?>
<sst xmlns="http://schemas.openxmlformats.org/spreadsheetml/2006/main" count="107" uniqueCount="49">
  <si>
    <t>Pretax salary</t>
  </si>
  <si>
    <t>Taxable income</t>
  </si>
  <si>
    <t>Voluntary pre tax super contribution</t>
  </si>
  <si>
    <t>Tax payable (inc medicare levy)</t>
  </si>
  <si>
    <t>Take home income</t>
  </si>
  <si>
    <t>Cost of living</t>
  </si>
  <si>
    <t>Excess cash flow</t>
  </si>
  <si>
    <t>Savings rate</t>
  </si>
  <si>
    <t>Year</t>
  </si>
  <si>
    <t>Portfolio growth rate</t>
  </si>
  <si>
    <t>Portfolio</t>
  </si>
  <si>
    <t>Super</t>
  </si>
  <si>
    <t>Super withdrawal rate</t>
  </si>
  <si>
    <t>Retirement year</t>
  </si>
  <si>
    <t>Fn = Safe withdraw rate x cost of living</t>
  </si>
  <si>
    <t>Fn = super + remaining portfolio</t>
  </si>
  <si>
    <t>How much do you need to have invested such that it lasts until 65</t>
  </si>
  <si>
    <t>How much do you need to have in super such that super + residual portfolio satisfies the 4% rule at retirement</t>
  </si>
  <si>
    <t>Inflation rate</t>
  </si>
  <si>
    <t>Observations</t>
  </si>
  <si>
    <t>Would aim for about a 6.5% porfolio withdrawal rate</t>
  </si>
  <si>
    <t>System is very sensitive towards savings rate, has large swings at year 42 depending on portfolio size - because returns are uncertain, planning to deplete portfolio completely is very risk</t>
  </si>
  <si>
    <t>Probably need about a 40-50% savings rate to retire in 15 years</t>
  </si>
  <si>
    <t>Making a small amount of voluntary contributions (eg $2000 p.a.) seems to be the best balance</t>
  </si>
  <si>
    <t>Due to the short time frame a substantially sized portfolio outside of super is still required</t>
  </si>
  <si>
    <t>Does contributing to super help to bring forward retirement?</t>
  </si>
  <si>
    <t>Start work at 23</t>
  </si>
  <si>
    <t>Access super at 65</t>
  </si>
  <si>
    <t>Single person household</t>
  </si>
  <si>
    <t>Income</t>
  </si>
  <si>
    <t>Medicare levy</t>
  </si>
  <si>
    <t>Take home</t>
  </si>
  <si>
    <t>2 person household 50/50 split</t>
  </si>
  <si>
    <t>Total household income</t>
  </si>
  <si>
    <t>Individual income</t>
  </si>
  <si>
    <t>Tax payable</t>
  </si>
  <si>
    <t>Excess cashflow</t>
  </si>
  <si>
    <t>Salary grows at the same rate as inflation</t>
  </si>
  <si>
    <t>Assumptions</t>
  </si>
  <si>
    <t>No taxation on portfolio earnings</t>
  </si>
  <si>
    <t>Salary</t>
  </si>
  <si>
    <t>Check 0 = OK</t>
  </si>
  <si>
    <t>Target withdrawal %</t>
  </si>
  <si>
    <t>Required Portfolio</t>
  </si>
  <si>
    <t>Portfolio + super</t>
  </si>
  <si>
    <t>Super contribution remains at 9.5% pretax salary</t>
  </si>
  <si>
    <t>15-years</t>
  </si>
  <si>
    <t>20-years</t>
  </si>
  <si>
    <t>Std FIRE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</si>
</sst>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charset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9">
    <xf numFmtId="0" fontId="0" fillId="0" borderId="0" xfId="0"/>
    <xf numFmtId="9" fontId="0" fillId="0" borderId="0" xfId="0" applyNumberFormat="1"/>
    <xf numFmtId="0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10" fontId="0" fillId="0" borderId="0" xfId="2" applyNumberFormat="1" applyFont="1"/>
    <xf numFmtId="164" fontId="1" fillId="2" borderId="0" xfId="1" applyNumberFormat="1" applyFont="1" applyFill="1"/>
    <xf numFmtId="165" fontId="1" fillId="2" borderId="0" xfId="2" applyNumberFormat="1" applyFont="1" applyFill="1"/>
    <xf numFmtId="10" fontId="0" fillId="0" borderId="0" xfId="0" applyNumberFormat="1"/>
    <xf numFmtId="164" fontId="0" fillId="0" borderId="2" xfId="1" applyNumberFormat="1" applyFont="1" applyBorder="1"/>
    <xf numFmtId="10" fontId="0" fillId="0" borderId="2" xfId="2" applyNumberFormat="1" applyFont="1" applyBorder="1"/>
    <xf numFmtId="164" fontId="0" fillId="0" borderId="2" xfId="0" applyNumberFormat="1" applyBorder="1"/>
    <xf numFmtId="164" fontId="0" fillId="0" borderId="3" xfId="0" applyNumberFormat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4" xfId="2" applyNumberFormat="1" applyFont="1" applyFill="1" applyBorder="1" applyAlignment="1">
      <alignment vertical="center"/>
    </xf>
    <xf numFmtId="44" fontId="0" fillId="0" borderId="0" xfId="0" applyNumberFormat="1"/>
    <xf numFmtId="0" fontId="0" fillId="0" borderId="6" xfId="0" applyBorder="1"/>
    <xf numFmtId="0" fontId="0" fillId="0" borderId="4" xfId="0" applyBorder="1"/>
    <xf numFmtId="0" fontId="0" fillId="0" borderId="7" xfId="0" applyBorder="1"/>
    <xf numFmtId="164" fontId="0" fillId="0" borderId="8" xfId="1" applyNumberFormat="1" applyFont="1" applyBorder="1"/>
    <xf numFmtId="10" fontId="0" fillId="0" borderId="0" xfId="2" applyNumberFormat="1" applyFont="1" applyBorder="1"/>
    <xf numFmtId="164" fontId="0" fillId="0" borderId="0" xfId="1" applyNumberFormat="1" applyFont="1" applyBorder="1"/>
    <xf numFmtId="164" fontId="0" fillId="0" borderId="0" xfId="0" applyNumberFormat="1" applyBorder="1"/>
    <xf numFmtId="0" fontId="0" fillId="0" borderId="0" xfId="0" applyBorder="1"/>
    <xf numFmtId="0" fontId="1" fillId="4" borderId="5" xfId="2" applyNumberFormat="1" applyFont="1" applyFill="1" applyBorder="1" applyAlignment="1">
      <alignment vertical="center"/>
    </xf>
    <xf numFmtId="164" fontId="0" fillId="0" borderId="1" xfId="1" applyNumberFormat="1" applyFont="1" applyBorder="1"/>
  </cellXfs>
  <cellStyles count="3">
    <cellStyle name="Currency" xfId="1" builtinId="4"/>
    <cellStyle name="Normal" xfId="0" builtinId="0"/>
    <cellStyle name="Percent" xfId="2" builtinId="5"/>
  </cellStyles>
  <dxfs count="2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>
                <a:solidFill>
                  <a:sysClr val="windowText" lastClr="000000"/>
                </a:solidFill>
                <a:latin typeface="Verdana Pro SemiBold" panose="020B0604020202020204" pitchFamily="34" charset="0"/>
              </a:rPr>
              <a:t>Single</a:t>
            </a:r>
            <a:r>
              <a:rPr lang="en-AU" baseline="0">
                <a:solidFill>
                  <a:sysClr val="windowText" lastClr="000000"/>
                </a:solidFill>
                <a:latin typeface="Verdana Pro SemiBold" panose="020B0604020202020204" pitchFamily="34" charset="0"/>
              </a:rPr>
              <a:t> person household 15-year</a:t>
            </a:r>
            <a:endParaRPr lang="en-AU">
              <a:solidFill>
                <a:sysClr val="windowText" lastClr="000000"/>
              </a:solidFill>
              <a:latin typeface="Verdana Pro SemiBold" panose="020B0604020202020204" pitchFamily="34" charset="0"/>
            </a:endParaRPr>
          </a:p>
        </c:rich>
      </c:tx>
      <c:layout>
        <c:manualLayout>
          <c:xMode val="edge"/>
          <c:yMode val="edge"/>
          <c:x val="0.241615229456976"/>
          <c:y val="4.22945931758530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069824065988173"/>
          <c:y val="0.17147480351363847"/>
          <c:w val="0.79893012243106509"/>
          <c:h val="0.597720406140955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'15 years'!$E$15</c:f>
              <c:strCache>
                <c:ptCount val="1"/>
                <c:pt idx="0">
                  <c:v>Portfolio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'15 years'!$D$16:$D$58</c:f>
              <c:numCache>
                <c:formatCode>General</c:formatCode>
                <c:ptCount val="4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</c:numCache>
            </c:numRef>
          </c:xVal>
          <c:yVal>
            <c:numRef>
              <c:f>'15 years'!$E$16:$E$58</c:f>
              <c:numCache>
                <c:formatCode>_-"$"* #,##0_-;\-"$"* #,##0_-;_-"$"* "-"??_-;_-@_-</c:formatCode>
                <c:ptCount val="43"/>
                <c:pt idx="0">
                  <c:v>0</c:v>
                </c:pt>
                <c:pt idx="1">
                  <c:v>32483</c:v>
                </c:pt>
                <c:pt idx="2">
                  <c:v>67889.47</c:v>
                </c:pt>
                <c:pt idx="3">
                  <c:v>106437.04610000001</c:v>
                </c:pt>
                <c:pt idx="4">
                  <c:v>148358.85879100001</c:v>
                </c:pt>
                <c:pt idx="5">
                  <c:v>193904.62275965002</c:v>
                </c:pt>
                <c:pt idx="6">
                  <c:v>243341.80308317114</c:v>
                </c:pt>
                <c:pt idx="7">
                  <c:v>296956.86316394561</c:v>
                </c:pt>
                <c:pt idx="8">
                  <c:v>355056.60012767336</c:v>
                </c:pt>
                <c:pt idx="9">
                  <c:v>417969.57380970707</c:v>
                </c:pt>
                <c:pt idx="10">
                  <c:v>486047.63588294509</c:v>
                </c:pt>
                <c:pt idx="11">
                  <c:v>559667.56613944098</c:v>
                </c:pt>
                <c:pt idx="12">
                  <c:v>639232.82342878543</c:v>
                </c:pt>
                <c:pt idx="13">
                  <c:v>725175.4192815756</c:v>
                </c:pt>
                <c:pt idx="14">
                  <c:v>817957.92280831654</c:v>
                </c:pt>
                <c:pt idx="15">
                  <c:v>918075.60606547003</c:v>
                </c:pt>
                <c:pt idx="16">
                  <c:v>915528.12618907494</c:v>
                </c:pt>
                <c:pt idx="17">
                  <c:v>911884.24711526663</c:v>
                </c:pt>
                <c:pt idx="18">
                  <c:v>907069.7683801027</c:v>
                </c:pt>
                <c:pt idx="19">
                  <c:v>901006.39188636199</c:v>
                </c:pt>
                <c:pt idx="20">
                  <c:v>893611.50926967943</c:v>
                </c:pt>
                <c:pt idx="21">
                  <c:v>884797.97847794276</c:v>
                </c:pt>
                <c:pt idx="22">
                  <c:v>874473.8890215148</c:v>
                </c:pt>
                <c:pt idx="23">
                  <c:v>862542.31532465888</c:v>
                </c:pt>
                <c:pt idx="24">
                  <c:v>848901.05758000154</c:v>
                </c:pt>
                <c:pt idx="25">
                  <c:v>833442.36947789346</c:v>
                </c:pt>
                <c:pt idx="26">
                  <c:v>816052.67215105786</c:v>
                </c:pt>
                <c:pt idx="27">
                  <c:v>796612.25364186591</c:v>
                </c:pt>
                <c:pt idx="28">
                  <c:v>774994.95316487935</c:v>
                </c:pt>
                <c:pt idx="29">
                  <c:v>751067.82940086199</c:v>
                </c:pt>
                <c:pt idx="30">
                  <c:v>724690.81202019844</c:v>
                </c:pt>
                <c:pt idx="31">
                  <c:v>695716.3355934876</c:v>
                </c:pt>
                <c:pt idx="32">
                  <c:v>663988.95500488684</c:v>
                </c:pt>
                <c:pt idx="33">
                  <c:v>629344.94143949053</c:v>
                </c:pt>
                <c:pt idx="34">
                  <c:v>591611.85796951165</c:v>
                </c:pt>
                <c:pt idx="35">
                  <c:v>550608.11371519463</c:v>
                </c:pt>
                <c:pt idx="36">
                  <c:v>506142.49550510594</c:v>
                </c:pt>
                <c:pt idx="37">
                  <c:v>458013.67590659589</c:v>
                </c:pt>
                <c:pt idx="38">
                  <c:v>406009.69644068502</c:v>
                </c:pt>
                <c:pt idx="39">
                  <c:v>349907.4247362538</c:v>
                </c:pt>
                <c:pt idx="40">
                  <c:v>289471.98431607173</c:v>
                </c:pt>
                <c:pt idx="41">
                  <c:v>224456.15564174065</c:v>
                </c:pt>
                <c:pt idx="42">
                  <c:v>154599.7469758903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05F-4340-95BC-6C689C1B75BF}"/>
            </c:ext>
          </c:extLst>
        </c:ser>
        <c:ser>
          <c:idx val="1"/>
          <c:order val="1"/>
          <c:tx>
            <c:strRef>
              <c:f>'15 years'!$H$15</c:f>
              <c:strCache>
                <c:ptCount val="1"/>
                <c:pt idx="0">
                  <c:v>Super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'15 years'!$D$16:$D$58</c:f>
              <c:numCache>
                <c:formatCode>General</c:formatCode>
                <c:ptCount val="4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</c:numCache>
            </c:numRef>
          </c:xVal>
          <c:yVal>
            <c:numRef>
              <c:f>'15 years'!$H$16:$H$58</c:f>
              <c:numCache>
                <c:formatCode>_-"$"* #,##0_-;\-"$"* #,##0_-;_-"$"* "-"??_-;_-@_-</c:formatCode>
                <c:ptCount val="43"/>
                <c:pt idx="0">
                  <c:v>0</c:v>
                </c:pt>
                <c:pt idx="1">
                  <c:v>16575</c:v>
                </c:pt>
                <c:pt idx="2">
                  <c:v>34310.25</c:v>
                </c:pt>
                <c:pt idx="3">
                  <c:v>53286.967499999999</c:v>
                </c:pt>
                <c:pt idx="4">
                  <c:v>73592.055225000004</c:v>
                </c:pt>
                <c:pt idx="5">
                  <c:v>95318.499090750003</c:v>
                </c:pt>
                <c:pt idx="6">
                  <c:v>118565.79402710251</c:v>
                </c:pt>
                <c:pt idx="7">
                  <c:v>143440.39960899969</c:v>
                </c:pt>
                <c:pt idx="8">
                  <c:v>170056.22758162968</c:v>
                </c:pt>
                <c:pt idx="9">
                  <c:v>198535.16351234377</c:v>
                </c:pt>
                <c:pt idx="10">
                  <c:v>229007.62495820786</c:v>
                </c:pt>
                <c:pt idx="11">
                  <c:v>261613.15870528243</c:v>
                </c:pt>
                <c:pt idx="12">
                  <c:v>296501.07981465221</c:v>
                </c:pt>
                <c:pt idx="13">
                  <c:v>333831.15540167788</c:v>
                </c:pt>
                <c:pt idx="14">
                  <c:v>373774.33627979533</c:v>
                </c:pt>
                <c:pt idx="15">
                  <c:v>416513.53981938103</c:v>
                </c:pt>
                <c:pt idx="16">
                  <c:v>445669.4876067377</c:v>
                </c:pt>
                <c:pt idx="17">
                  <c:v>476866.35173920938</c:v>
                </c:pt>
                <c:pt idx="18">
                  <c:v>510246.99636095407</c:v>
                </c:pt>
                <c:pt idx="19">
                  <c:v>545964.28610622091</c:v>
                </c:pt>
                <c:pt idx="20">
                  <c:v>584181.78613365639</c:v>
                </c:pt>
                <c:pt idx="21">
                  <c:v>625074.51116301236</c:v>
                </c:pt>
                <c:pt idx="22">
                  <c:v>668829.72694442328</c:v>
                </c:pt>
                <c:pt idx="23">
                  <c:v>715647.8078305329</c:v>
                </c:pt>
                <c:pt idx="24">
                  <c:v>765743.15437867027</c:v>
                </c:pt>
                <c:pt idx="25">
                  <c:v>819345.17518517724</c:v>
                </c:pt>
                <c:pt idx="26">
                  <c:v>876699.33744813967</c:v>
                </c:pt>
                <c:pt idx="27">
                  <c:v>938068.29106950946</c:v>
                </c:pt>
                <c:pt idx="28">
                  <c:v>1003733.0714443752</c:v>
                </c:pt>
                <c:pt idx="29">
                  <c:v>1073994.3864454816</c:v>
                </c:pt>
                <c:pt idx="30">
                  <c:v>1149173.9934966653</c:v>
                </c:pt>
                <c:pt idx="31">
                  <c:v>1229616.1730414319</c:v>
                </c:pt>
                <c:pt idx="32">
                  <c:v>1315689.3051543322</c:v>
                </c:pt>
                <c:pt idx="33">
                  <c:v>1407787.5565151356</c:v>
                </c:pt>
                <c:pt idx="34">
                  <c:v>1506332.6854711953</c:v>
                </c:pt>
                <c:pt idx="35">
                  <c:v>1611775.973454179</c:v>
                </c:pt>
                <c:pt idx="36">
                  <c:v>1724600.2915959717</c:v>
                </c:pt>
                <c:pt idx="37">
                  <c:v>1845322.3120076898</c:v>
                </c:pt>
                <c:pt idx="38">
                  <c:v>1974494.8738482282</c:v>
                </c:pt>
                <c:pt idx="39">
                  <c:v>2112709.5150176045</c:v>
                </c:pt>
                <c:pt idx="40">
                  <c:v>2260599.1810688367</c:v>
                </c:pt>
                <c:pt idx="41">
                  <c:v>2418841.1237436556</c:v>
                </c:pt>
                <c:pt idx="42">
                  <c:v>2588160.0024057114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05F-4340-95BC-6C689C1B75BF}"/>
            </c:ext>
          </c:extLst>
        </c:ser>
        <c:ser>
          <c:idx val="2"/>
          <c:order val="2"/>
          <c:tx>
            <c:strRef>
              <c:f>'15 years'!$I$15</c:f>
              <c:strCache>
                <c:ptCount val="1"/>
                <c:pt idx="0">
                  <c:v>Portfolio + super</c:v>
                </c:pt>
              </c:strCache>
            </c:strRef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'15 years'!$D$16:$D$58</c:f>
              <c:numCache>
                <c:formatCode>General</c:formatCode>
                <c:ptCount val="4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</c:numCache>
            </c:numRef>
          </c:xVal>
          <c:yVal>
            <c:numRef>
              <c:f>'15 years'!$I$16:$I$58</c:f>
              <c:numCache>
                <c:formatCode>_-"$"* #,##0_-;\-"$"* #,##0_-;_-"$"* "-"??_-;_-@_-</c:formatCode>
                <c:ptCount val="43"/>
                <c:pt idx="0">
                  <c:v>0</c:v>
                </c:pt>
                <c:pt idx="1">
                  <c:v>49058</c:v>
                </c:pt>
                <c:pt idx="2">
                  <c:v>102199.72</c:v>
                </c:pt>
                <c:pt idx="3">
                  <c:v>159724.01360000001</c:v>
                </c:pt>
                <c:pt idx="4">
                  <c:v>221950.914016</c:v>
                </c:pt>
                <c:pt idx="5">
                  <c:v>289223.1218504</c:v>
                </c:pt>
                <c:pt idx="6">
                  <c:v>361907.59711027367</c:v>
                </c:pt>
                <c:pt idx="7">
                  <c:v>440397.26277294534</c:v>
                </c:pt>
                <c:pt idx="8">
                  <c:v>525112.827709303</c:v>
                </c:pt>
                <c:pt idx="9">
                  <c:v>616504.73732205085</c:v>
                </c:pt>
                <c:pt idx="10">
                  <c:v>715055.26084115298</c:v>
                </c:pt>
                <c:pt idx="11">
                  <c:v>821280.72484472347</c:v>
                </c:pt>
                <c:pt idx="12">
                  <c:v>935733.90324343764</c:v>
                </c:pt>
                <c:pt idx="13">
                  <c:v>1059006.5746832534</c:v>
                </c:pt>
                <c:pt idx="14">
                  <c:v>1191732.2590881118</c:v>
                </c:pt>
                <c:pt idx="15">
                  <c:v>1334589.145884851</c:v>
                </c:pt>
                <c:pt idx="16">
                  <c:v>1361197.6137958127</c:v>
                </c:pt>
                <c:pt idx="17">
                  <c:v>1388750.5988544761</c:v>
                </c:pt>
                <c:pt idx="18">
                  <c:v>1417316.7647410568</c:v>
                </c:pt>
                <c:pt idx="19">
                  <c:v>1446970.6779925828</c:v>
                </c:pt>
                <c:pt idx="20">
                  <c:v>1477793.2954033357</c:v>
                </c:pt>
                <c:pt idx="21">
                  <c:v>1509872.4896409551</c:v>
                </c:pt>
                <c:pt idx="22">
                  <c:v>1543303.6159659382</c:v>
                </c:pt>
                <c:pt idx="23">
                  <c:v>1578190.1231551918</c:v>
                </c:pt>
                <c:pt idx="24">
                  <c:v>1614644.2119586719</c:v>
                </c:pt>
                <c:pt idx="25">
                  <c:v>1652787.5446630707</c:v>
                </c:pt>
                <c:pt idx="26">
                  <c:v>1692752.0095991977</c:v>
                </c:pt>
                <c:pt idx="27">
                  <c:v>1734680.5447113754</c:v>
                </c:pt>
                <c:pt idx="28">
                  <c:v>1778728.0246092547</c:v>
                </c:pt>
                <c:pt idx="29">
                  <c:v>1825062.2158463434</c:v>
                </c:pt>
                <c:pt idx="30">
                  <c:v>1873864.8055168637</c:v>
                </c:pt>
                <c:pt idx="31">
                  <c:v>1925332.5086349195</c:v>
                </c:pt>
                <c:pt idx="32">
                  <c:v>1979678.2601592191</c:v>
                </c:pt>
                <c:pt idx="33">
                  <c:v>2037132.4979546261</c:v>
                </c:pt>
                <c:pt idx="34">
                  <c:v>2097944.543440707</c:v>
                </c:pt>
                <c:pt idx="35">
                  <c:v>2162384.0871693734</c:v>
                </c:pt>
                <c:pt idx="36">
                  <c:v>2230742.7871010778</c:v>
                </c:pt>
                <c:pt idx="37">
                  <c:v>2303335.9879142856</c:v>
                </c:pt>
                <c:pt idx="38">
                  <c:v>2380504.5702889133</c:v>
                </c:pt>
                <c:pt idx="39">
                  <c:v>2462616.9397538584</c:v>
                </c:pt>
                <c:pt idx="40">
                  <c:v>2550071.1653849082</c:v>
                </c:pt>
                <c:pt idx="41">
                  <c:v>2643297.2793853963</c:v>
                </c:pt>
                <c:pt idx="42">
                  <c:v>2742759.7493816018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805F-4340-95BC-6C689C1B75BF}"/>
            </c:ext>
          </c:extLst>
        </c:ser>
        <c:ser>
          <c:idx val="3"/>
          <c:order val="3"/>
          <c:tx>
            <c:strRef>
              <c:f>'15 years'!$K$15</c:f>
              <c:strCache>
                <c:ptCount val="1"/>
                <c:pt idx="0">
                  <c:v>Required Portfolio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'15 years'!$D$17:$D$58</c:f>
              <c:numCache>
                <c:formatCode>General</c:formatCode>
                <c:ptCount val="4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</c:numCache>
            </c:numRef>
          </c:xVal>
          <c:yVal>
            <c:numRef>
              <c:f>'15 years'!$K$17:$K$58</c:f>
              <c:numCache>
                <c:formatCode>_-"$"* #,##0_-;\-"$"* #,##0_-;_-"$"* "-"??_-;_-@_-</c:formatCode>
                <c:ptCount val="42"/>
                <c:pt idx="0">
                  <c:v>900000</c:v>
                </c:pt>
                <c:pt idx="1">
                  <c:v>918000</c:v>
                </c:pt>
                <c:pt idx="2">
                  <c:v>936360</c:v>
                </c:pt>
                <c:pt idx="3">
                  <c:v>955087.20000000007</c:v>
                </c:pt>
                <c:pt idx="4">
                  <c:v>974188.94400000002</c:v>
                </c:pt>
                <c:pt idx="5">
                  <c:v>993672.72288000002</c:v>
                </c:pt>
                <c:pt idx="6">
                  <c:v>1013546.1773376</c:v>
                </c:pt>
                <c:pt idx="7">
                  <c:v>1033817.1008843521</c:v>
                </c:pt>
                <c:pt idx="8">
                  <c:v>1054493.442902039</c:v>
                </c:pt>
                <c:pt idx="9">
                  <c:v>1075583.31176008</c:v>
                </c:pt>
                <c:pt idx="10">
                  <c:v>1097094.9779952816</c:v>
                </c:pt>
                <c:pt idx="11">
                  <c:v>1119036.8775551873</c:v>
                </c:pt>
                <c:pt idx="12">
                  <c:v>1141417.6151062911</c:v>
                </c:pt>
                <c:pt idx="13">
                  <c:v>1164245.967408417</c:v>
                </c:pt>
                <c:pt idx="14">
                  <c:v>1187530.8867565852</c:v>
                </c:pt>
                <c:pt idx="15">
                  <c:v>1211281.5044917169</c:v>
                </c:pt>
                <c:pt idx="16">
                  <c:v>1235507.1345815512</c:v>
                </c:pt>
                <c:pt idx="17">
                  <c:v>1260217.2772731823</c:v>
                </c:pt>
                <c:pt idx="18">
                  <c:v>1285421.622818646</c:v>
                </c:pt>
                <c:pt idx="19">
                  <c:v>1311130.055275019</c:v>
                </c:pt>
                <c:pt idx="20">
                  <c:v>1337352.6563805193</c:v>
                </c:pt>
                <c:pt idx="21">
                  <c:v>1364099.7095081296</c:v>
                </c:pt>
                <c:pt idx="22">
                  <c:v>1391381.7036982921</c:v>
                </c:pt>
                <c:pt idx="23">
                  <c:v>1419209.3377722579</c:v>
                </c:pt>
                <c:pt idx="24">
                  <c:v>1447593.5245277032</c:v>
                </c:pt>
                <c:pt idx="25">
                  <c:v>1476545.3950182572</c:v>
                </c:pt>
                <c:pt idx="26">
                  <c:v>1506076.3029186225</c:v>
                </c:pt>
                <c:pt idx="27">
                  <c:v>1536197.8289769948</c:v>
                </c:pt>
                <c:pt idx="28">
                  <c:v>1566921.7855565348</c:v>
                </c:pt>
                <c:pt idx="29">
                  <c:v>1598260.2212676655</c:v>
                </c:pt>
                <c:pt idx="30">
                  <c:v>1630225.4256930188</c:v>
                </c:pt>
                <c:pt idx="31">
                  <c:v>1662829.9342068792</c:v>
                </c:pt>
                <c:pt idx="32">
                  <c:v>1696086.5328910167</c:v>
                </c:pt>
                <c:pt idx="33">
                  <c:v>1730008.2635488373</c:v>
                </c:pt>
                <c:pt idx="34">
                  <c:v>1764608.428819814</c:v>
                </c:pt>
                <c:pt idx="35">
                  <c:v>1799900.5973962103</c:v>
                </c:pt>
                <c:pt idx="36">
                  <c:v>1835898.6093441343</c:v>
                </c:pt>
                <c:pt idx="37">
                  <c:v>1872616.5815310171</c:v>
                </c:pt>
                <c:pt idx="38">
                  <c:v>1910068.9131616375</c:v>
                </c:pt>
                <c:pt idx="39">
                  <c:v>1948270.29142487</c:v>
                </c:pt>
                <c:pt idx="40">
                  <c:v>1987235.6972533674</c:v>
                </c:pt>
                <c:pt idx="41">
                  <c:v>2026980.4111984347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805F-4340-95BC-6C689C1B7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1465743"/>
        <c:axId val="961564271"/>
        <c:extLst/>
      </c:scatterChart>
      <c:valAx>
        <c:axId val="71146574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1564271"/>
        <c:crosses val="autoZero"/>
        <c:crossBetween val="midCat"/>
        <c:majorUnit val="2"/>
      </c:valAx>
      <c:valAx>
        <c:axId val="96156427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146574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1561819132620552"/>
          <c:y val="0.8729702887139108"/>
          <c:w val="0.79961996668995738"/>
          <c:h val="8.62132947667255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>
                <a:solidFill>
                  <a:sysClr val="windowText" lastClr="000000"/>
                </a:solidFill>
                <a:latin typeface="Verdana Pro SemiBold" panose="020B0604020202020204" pitchFamily="34" charset="0"/>
              </a:rPr>
              <a:t>Single</a:t>
            </a:r>
            <a:r>
              <a:rPr lang="en-AU" baseline="0">
                <a:solidFill>
                  <a:sysClr val="windowText" lastClr="000000"/>
                </a:solidFill>
                <a:latin typeface="Verdana Pro SemiBold" panose="020B0604020202020204" pitchFamily="34" charset="0"/>
              </a:rPr>
              <a:t> person household 20-year</a:t>
            </a:r>
            <a:endParaRPr lang="en-AU">
              <a:solidFill>
                <a:sysClr val="windowText" lastClr="000000"/>
              </a:solidFill>
              <a:latin typeface="Verdana Pro SemiBold" panose="020B0604020202020204" pitchFamily="34" charset="0"/>
            </a:endParaRPr>
          </a:p>
        </c:rich>
      </c:tx>
      <c:layout>
        <c:manualLayout>
          <c:xMode val="edge"/>
          <c:yMode val="edge"/>
          <c:x val="0.241615229456976"/>
          <c:y val="4.22945931758530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069824065988173"/>
          <c:y val="0.17147480351363847"/>
          <c:w val="0.79893012243106509"/>
          <c:h val="0.597720406140955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 years'!$E$15</c:f>
              <c:strCache>
                <c:ptCount val="1"/>
                <c:pt idx="0">
                  <c:v>Portfolio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'20 years'!$D$16:$D$58</c:f>
              <c:numCache>
                <c:formatCode>General</c:formatCode>
                <c:ptCount val="4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</c:numCache>
            </c:numRef>
          </c:xVal>
          <c:yVal>
            <c:numRef>
              <c:f>'20 years'!$E$16:$E$58</c:f>
              <c:numCache>
                <c:formatCode>_-"$"* #,##0_-;\-"$"* #,##0_-;_-"$"* "-"??_-;_-@_-</c:formatCode>
                <c:ptCount val="43"/>
                <c:pt idx="0">
                  <c:v>0</c:v>
                </c:pt>
                <c:pt idx="1">
                  <c:v>21483</c:v>
                </c:pt>
                <c:pt idx="2">
                  <c:v>44899.47</c:v>
                </c:pt>
                <c:pt idx="3">
                  <c:v>70393.34610000001</c:v>
                </c:pt>
                <c:pt idx="4">
                  <c:v>98118.811791000015</c:v>
                </c:pt>
                <c:pt idx="5">
                  <c:v>128241.01870965003</c:v>
                </c:pt>
                <c:pt idx="6">
                  <c:v>160936.85791447115</c:v>
                </c:pt>
                <c:pt idx="7">
                  <c:v>196395.78522153269</c:v>
                </c:pt>
                <c:pt idx="8">
                  <c:v>234820.70438514947</c:v>
                </c:pt>
                <c:pt idx="9">
                  <c:v>276428.91217418161</c:v>
                </c:pt>
                <c:pt idx="10">
                  <c:v>321453.10967808746</c:v>
                </c:pt>
                <c:pt idx="11">
                  <c:v>370142.48448030098</c:v>
                </c:pt>
                <c:pt idx="12">
                  <c:v>422763.86866116442</c:v>
                </c:pt>
                <c:pt idx="13">
                  <c:v>479602.97794003313</c:v>
                </c:pt>
                <c:pt idx="14">
                  <c:v>540965.73763787444</c:v>
                </c:pt>
                <c:pt idx="15">
                  <c:v>607179.70153940527</c:v>
                </c:pt>
                <c:pt idx="16">
                  <c:v>678595.57015938091</c:v>
                </c:pt>
                <c:pt idx="17">
                  <c:v>755588.81537299918</c:v>
                </c:pt>
                <c:pt idx="18">
                  <c:v>838561.41885761998</c:v>
                </c:pt>
                <c:pt idx="19">
                  <c:v>927943.73231433448</c:v>
                </c:pt>
                <c:pt idx="20">
                  <c:v>924429.66846753145</c:v>
                </c:pt>
                <c:pt idx="21">
                  <c:v>919300.21764927602</c:v>
                </c:pt>
                <c:pt idx="22">
                  <c:v>912414.91472152306</c:v>
                </c:pt>
                <c:pt idx="23">
                  <c:v>903622.91422556329</c:v>
                </c:pt>
                <c:pt idx="24">
                  <c:v>892762.25280435709</c:v>
                </c:pt>
                <c:pt idx="25">
                  <c:v>879659.05977532652</c:v>
                </c:pt>
                <c:pt idx="26">
                  <c:v>864126.71221975714</c:v>
                </c:pt>
                <c:pt idx="27">
                  <c:v>845964.93070050096</c:v>
                </c:pt>
                <c:pt idx="28">
                  <c:v>824958.81144740421</c:v>
                </c:pt>
                <c:pt idx="29">
                  <c:v>800877.79055854795</c:v>
                </c:pt>
                <c:pt idx="30">
                  <c:v>773474.53545366833</c:v>
                </c:pt>
                <c:pt idx="31">
                  <c:v>742483.7584825675</c:v>
                </c:pt>
                <c:pt idx="32">
                  <c:v>707620.94723443245</c:v>
                </c:pt>
                <c:pt idx="33">
                  <c:v>668581.00571208959</c:v>
                </c:pt>
                <c:pt idx="34">
                  <c:v>625036.80012660765</c:v>
                </c:pt>
                <c:pt idx="35">
                  <c:v>576637.60263043549</c:v>
                </c:pt>
                <c:pt idx="36">
                  <c:v>523007.42583943054</c:v>
                </c:pt>
                <c:pt idx="37">
                  <c:v>463743.24049355253</c:v>
                </c:pt>
                <c:pt idx="38">
                  <c:v>398413.0680703703</c:v>
                </c:pt>
                <c:pt idx="39">
                  <c:v>326553.93959241069</c:v>
                </c:pt>
                <c:pt idx="40">
                  <c:v>247669.71125613622</c:v>
                </c:pt>
                <c:pt idx="41">
                  <c:v>161228.72685416767</c:v>
                </c:pt>
                <c:pt idx="42">
                  <c:v>66661.316260263353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773-4050-BB8B-2B62D0695617}"/>
            </c:ext>
          </c:extLst>
        </c:ser>
        <c:ser>
          <c:idx val="1"/>
          <c:order val="1"/>
          <c:tx>
            <c:strRef>
              <c:f>'20 years'!$H$15</c:f>
              <c:strCache>
                <c:ptCount val="1"/>
                <c:pt idx="0">
                  <c:v>Super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'20 years'!$D$16:$D$58</c:f>
              <c:numCache>
                <c:formatCode>General</c:formatCode>
                <c:ptCount val="4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</c:numCache>
            </c:numRef>
          </c:xVal>
          <c:yVal>
            <c:numRef>
              <c:f>'20 years'!$H$16:$H$58</c:f>
              <c:numCache>
                <c:formatCode>_-"$"* #,##0_-;\-"$"* #,##0_-;_-"$"* "-"??_-;_-@_-</c:formatCode>
                <c:ptCount val="43"/>
                <c:pt idx="0">
                  <c:v>0</c:v>
                </c:pt>
                <c:pt idx="1">
                  <c:v>16575</c:v>
                </c:pt>
                <c:pt idx="2">
                  <c:v>34310.25</c:v>
                </c:pt>
                <c:pt idx="3">
                  <c:v>53286.967499999999</c:v>
                </c:pt>
                <c:pt idx="4">
                  <c:v>73592.055225000004</c:v>
                </c:pt>
                <c:pt idx="5">
                  <c:v>95318.499090750003</c:v>
                </c:pt>
                <c:pt idx="6">
                  <c:v>118565.79402710251</c:v>
                </c:pt>
                <c:pt idx="7">
                  <c:v>143440.39960899969</c:v>
                </c:pt>
                <c:pt idx="8">
                  <c:v>170056.22758162968</c:v>
                </c:pt>
                <c:pt idx="9">
                  <c:v>198535.16351234377</c:v>
                </c:pt>
                <c:pt idx="10">
                  <c:v>229007.62495820786</c:v>
                </c:pt>
                <c:pt idx="11">
                  <c:v>261613.15870528243</c:v>
                </c:pt>
                <c:pt idx="12">
                  <c:v>296501.07981465221</c:v>
                </c:pt>
                <c:pt idx="13">
                  <c:v>333831.15540167788</c:v>
                </c:pt>
                <c:pt idx="14">
                  <c:v>373774.33627979533</c:v>
                </c:pt>
                <c:pt idx="15">
                  <c:v>416513.53981938103</c:v>
                </c:pt>
                <c:pt idx="16">
                  <c:v>462244.4876067377</c:v>
                </c:pt>
                <c:pt idx="17">
                  <c:v>511176.60173920938</c:v>
                </c:pt>
                <c:pt idx="18">
                  <c:v>563533.96386095404</c:v>
                </c:pt>
                <c:pt idx="19">
                  <c:v>619556.34133122081</c:v>
                </c:pt>
                <c:pt idx="20">
                  <c:v>679500.28522440628</c:v>
                </c:pt>
                <c:pt idx="21">
                  <c:v>727065.30519011477</c:v>
                </c:pt>
                <c:pt idx="22">
                  <c:v>777959.87655342289</c:v>
                </c:pt>
                <c:pt idx="23">
                  <c:v>832417.06791216251</c:v>
                </c:pt>
                <c:pt idx="24">
                  <c:v>890686.26266601391</c:v>
                </c:pt>
                <c:pt idx="25">
                  <c:v>953034.30105263495</c:v>
                </c:pt>
                <c:pt idx="26">
                  <c:v>1019746.7021263194</c:v>
                </c:pt>
                <c:pt idx="27">
                  <c:v>1091128.9712751617</c:v>
                </c:pt>
                <c:pt idx="28">
                  <c:v>1167507.999264423</c:v>
                </c:pt>
                <c:pt idx="29">
                  <c:v>1249233.5592129328</c:v>
                </c:pt>
                <c:pt idx="30">
                  <c:v>1336679.9083578382</c:v>
                </c:pt>
                <c:pt idx="31">
                  <c:v>1430247.501942887</c:v>
                </c:pt>
                <c:pt idx="32">
                  <c:v>1530364.8270788891</c:v>
                </c:pt>
                <c:pt idx="33">
                  <c:v>1637490.3649744114</c:v>
                </c:pt>
                <c:pt idx="34">
                  <c:v>1752114.6905226205</c:v>
                </c:pt>
                <c:pt idx="35">
                  <c:v>1874762.7188592041</c:v>
                </c:pt>
                <c:pt idx="36">
                  <c:v>2005996.1091793485</c:v>
                </c:pt>
                <c:pt idx="37">
                  <c:v>2146415.836821903</c:v>
                </c:pt>
                <c:pt idx="38">
                  <c:v>2296664.9453994362</c:v>
                </c:pt>
                <c:pt idx="39">
                  <c:v>2457431.4915773966</c:v>
                </c:pt>
                <c:pt idx="40">
                  <c:v>2629451.6959878146</c:v>
                </c:pt>
                <c:pt idx="41">
                  <c:v>2813513.3147069616</c:v>
                </c:pt>
                <c:pt idx="42">
                  <c:v>3010459.2467364492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773-4050-BB8B-2B62D0695617}"/>
            </c:ext>
          </c:extLst>
        </c:ser>
        <c:ser>
          <c:idx val="2"/>
          <c:order val="2"/>
          <c:tx>
            <c:strRef>
              <c:f>'20 years'!$I$15</c:f>
              <c:strCache>
                <c:ptCount val="1"/>
                <c:pt idx="0">
                  <c:v>Portfolio + super</c:v>
                </c:pt>
              </c:strCache>
            </c:strRef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'20 years'!$D$16:$D$58</c:f>
              <c:numCache>
                <c:formatCode>General</c:formatCode>
                <c:ptCount val="4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</c:numCache>
            </c:numRef>
          </c:xVal>
          <c:yVal>
            <c:numRef>
              <c:f>'20 years'!$I$16:$I$58</c:f>
              <c:numCache>
                <c:formatCode>_-"$"* #,##0_-;\-"$"* #,##0_-;_-"$"* "-"??_-;_-@_-</c:formatCode>
                <c:ptCount val="43"/>
                <c:pt idx="0">
                  <c:v>0</c:v>
                </c:pt>
                <c:pt idx="1">
                  <c:v>38058</c:v>
                </c:pt>
                <c:pt idx="2">
                  <c:v>79209.72</c:v>
                </c:pt>
                <c:pt idx="3">
                  <c:v>123680.31360000001</c:v>
                </c:pt>
                <c:pt idx="4">
                  <c:v>171710.86701600003</c:v>
                </c:pt>
                <c:pt idx="5">
                  <c:v>223559.51780040003</c:v>
                </c:pt>
                <c:pt idx="6">
                  <c:v>279502.65194157365</c:v>
                </c:pt>
                <c:pt idx="7">
                  <c:v>339836.18483053241</c:v>
                </c:pt>
                <c:pt idx="8">
                  <c:v>404876.93196677917</c:v>
                </c:pt>
                <c:pt idx="9">
                  <c:v>474964.07568652538</c:v>
                </c:pt>
                <c:pt idx="10">
                  <c:v>550460.73463629535</c:v>
                </c:pt>
                <c:pt idx="11">
                  <c:v>631755.64318558341</c:v>
                </c:pt>
                <c:pt idx="12">
                  <c:v>719264.94847581664</c:v>
                </c:pt>
                <c:pt idx="13">
                  <c:v>813434.13334171101</c:v>
                </c:pt>
                <c:pt idx="14">
                  <c:v>914740.07391766971</c:v>
                </c:pt>
                <c:pt idx="15">
                  <c:v>1023693.2413587864</c:v>
                </c:pt>
                <c:pt idx="16">
                  <c:v>1140840.0577661186</c:v>
                </c:pt>
                <c:pt idx="17">
                  <c:v>1266765.4171122084</c:v>
                </c:pt>
                <c:pt idx="18">
                  <c:v>1402095.382718574</c:v>
                </c:pt>
                <c:pt idx="19">
                  <c:v>1547500.0736455554</c:v>
                </c:pt>
                <c:pt idx="20">
                  <c:v>1603929.9536919377</c:v>
                </c:pt>
                <c:pt idx="21">
                  <c:v>1646365.5228393907</c:v>
                </c:pt>
                <c:pt idx="22">
                  <c:v>1690374.791274946</c:v>
                </c:pt>
                <c:pt idx="23">
                  <c:v>1736039.9821377257</c:v>
                </c:pt>
                <c:pt idx="24">
                  <c:v>1783448.5154703711</c:v>
                </c:pt>
                <c:pt idx="25">
                  <c:v>1832693.3608279615</c:v>
                </c:pt>
                <c:pt idx="26">
                  <c:v>1883873.4143460765</c:v>
                </c:pt>
                <c:pt idx="27">
                  <c:v>1937093.9019756627</c:v>
                </c:pt>
                <c:pt idx="28">
                  <c:v>1992466.8107118271</c:v>
                </c:pt>
                <c:pt idx="29">
                  <c:v>2050111.3497714808</c:v>
                </c:pt>
                <c:pt idx="30">
                  <c:v>2110154.4438115065</c:v>
                </c:pt>
                <c:pt idx="31">
                  <c:v>2172731.2604254545</c:v>
                </c:pt>
                <c:pt idx="32">
                  <c:v>2237985.7743133213</c:v>
                </c:pt>
                <c:pt idx="33">
                  <c:v>2306071.3706865013</c:v>
                </c:pt>
                <c:pt idx="34">
                  <c:v>2377151.490649228</c:v>
                </c:pt>
                <c:pt idx="35">
                  <c:v>2451400.3214896396</c:v>
                </c:pt>
                <c:pt idx="36">
                  <c:v>2529003.5350187789</c:v>
                </c:pt>
                <c:pt idx="37">
                  <c:v>2610159.0773154553</c:v>
                </c:pt>
                <c:pt idx="38">
                  <c:v>2695078.0134698064</c:v>
                </c:pt>
                <c:pt idx="39">
                  <c:v>2783985.4311698074</c:v>
                </c:pt>
                <c:pt idx="40">
                  <c:v>2877121.4072439508</c:v>
                </c:pt>
                <c:pt idx="41">
                  <c:v>2974742.0415611295</c:v>
                </c:pt>
                <c:pt idx="42">
                  <c:v>3077120.5629967125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773-4050-BB8B-2B62D0695617}"/>
            </c:ext>
          </c:extLst>
        </c:ser>
        <c:ser>
          <c:idx val="3"/>
          <c:order val="3"/>
          <c:tx>
            <c:strRef>
              <c:f>'20 years'!$K$15</c:f>
              <c:strCache>
                <c:ptCount val="1"/>
                <c:pt idx="0">
                  <c:v>Required Portfolio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'20 years'!$D$17:$D$58</c:f>
              <c:numCache>
                <c:formatCode>General</c:formatCode>
                <c:ptCount val="4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</c:numCache>
            </c:numRef>
          </c:xVal>
          <c:yVal>
            <c:numRef>
              <c:f>'20 years'!$K$17:$K$58</c:f>
              <c:numCache>
                <c:formatCode>_-"$"* #,##0_-;\-"$"* #,##0_-;_-"$"* "-"??_-;_-@_-</c:formatCode>
                <c:ptCount val="42"/>
                <c:pt idx="0">
                  <c:v>1175000</c:v>
                </c:pt>
                <c:pt idx="1">
                  <c:v>1198500</c:v>
                </c:pt>
                <c:pt idx="2">
                  <c:v>1222470</c:v>
                </c:pt>
                <c:pt idx="3">
                  <c:v>1246919.4000000001</c:v>
                </c:pt>
                <c:pt idx="4">
                  <c:v>1271857.7879999999</c:v>
                </c:pt>
                <c:pt idx="5">
                  <c:v>1297294.9437599999</c:v>
                </c:pt>
                <c:pt idx="6">
                  <c:v>1323240.8426351999</c:v>
                </c:pt>
                <c:pt idx="7">
                  <c:v>1349705.659487904</c:v>
                </c:pt>
                <c:pt idx="8">
                  <c:v>1376699.7726776623</c:v>
                </c:pt>
                <c:pt idx="9">
                  <c:v>1404233.7681312156</c:v>
                </c:pt>
                <c:pt idx="10">
                  <c:v>1432318.4434938398</c:v>
                </c:pt>
                <c:pt idx="11">
                  <c:v>1460964.8123637168</c:v>
                </c:pt>
                <c:pt idx="12">
                  <c:v>1490184.1086109912</c:v>
                </c:pt>
                <c:pt idx="13">
                  <c:v>1519987.7907832109</c:v>
                </c:pt>
                <c:pt idx="14">
                  <c:v>1550387.5465988752</c:v>
                </c:pt>
                <c:pt idx="15">
                  <c:v>1581395.2975308527</c:v>
                </c:pt>
                <c:pt idx="16">
                  <c:v>1613023.2034814698</c:v>
                </c:pt>
                <c:pt idx="17">
                  <c:v>1645283.6675510993</c:v>
                </c:pt>
                <c:pt idx="18">
                  <c:v>1678189.3409021213</c:v>
                </c:pt>
                <c:pt idx="19">
                  <c:v>1711753.1277201637</c:v>
                </c:pt>
                <c:pt idx="20">
                  <c:v>1745988.1902745669</c:v>
                </c:pt>
                <c:pt idx="21">
                  <c:v>1780907.9540800583</c:v>
                </c:pt>
                <c:pt idx="22">
                  <c:v>1816526.1131616596</c:v>
                </c:pt>
                <c:pt idx="23">
                  <c:v>1852856.6354248927</c:v>
                </c:pt>
                <c:pt idx="24">
                  <c:v>1889913.7681333905</c:v>
                </c:pt>
                <c:pt idx="25">
                  <c:v>1927712.0434960583</c:v>
                </c:pt>
                <c:pt idx="26">
                  <c:v>1966266.2843659797</c:v>
                </c:pt>
                <c:pt idx="27">
                  <c:v>2005591.6100532992</c:v>
                </c:pt>
                <c:pt idx="28">
                  <c:v>2045703.4422543652</c:v>
                </c:pt>
                <c:pt idx="29">
                  <c:v>2086617.5110994524</c:v>
                </c:pt>
                <c:pt idx="30">
                  <c:v>2128349.8613214414</c:v>
                </c:pt>
                <c:pt idx="31">
                  <c:v>2170916.8585478701</c:v>
                </c:pt>
                <c:pt idx="32">
                  <c:v>2214335.1957188277</c:v>
                </c:pt>
                <c:pt idx="33">
                  <c:v>2258621.8996332046</c:v>
                </c:pt>
                <c:pt idx="34">
                  <c:v>2303794.3376258686</c:v>
                </c:pt>
                <c:pt idx="35">
                  <c:v>2349870.224378386</c:v>
                </c:pt>
                <c:pt idx="36">
                  <c:v>2396867.628865954</c:v>
                </c:pt>
                <c:pt idx="37">
                  <c:v>2444804.9814432729</c:v>
                </c:pt>
                <c:pt idx="38">
                  <c:v>2493701.0810721382</c:v>
                </c:pt>
                <c:pt idx="39">
                  <c:v>2543575.102693581</c:v>
                </c:pt>
                <c:pt idx="40">
                  <c:v>2594446.6047474523</c:v>
                </c:pt>
                <c:pt idx="41">
                  <c:v>2646335.5368424016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773-4050-BB8B-2B62D0695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1465743"/>
        <c:axId val="961564271"/>
        <c:extLst/>
      </c:scatterChart>
      <c:valAx>
        <c:axId val="71146574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1564271"/>
        <c:crosses val="autoZero"/>
        <c:crossBetween val="midCat"/>
        <c:majorUnit val="2"/>
      </c:valAx>
      <c:valAx>
        <c:axId val="96156427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146574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1561819132620552"/>
          <c:y val="0.8729702887139108"/>
          <c:w val="0.79961996668995738"/>
          <c:h val="8.62132947667255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>
                <a:solidFill>
                  <a:sysClr val="windowText" lastClr="000000"/>
                </a:solidFill>
                <a:latin typeface="Verdana Pro SemiBold" panose="020B0604020202020204" pitchFamily="34" charset="0"/>
              </a:rPr>
              <a:t>Investment portfolio</a:t>
            </a:r>
            <a:r>
              <a:rPr lang="en-AU" baseline="0">
                <a:solidFill>
                  <a:sysClr val="windowText" lastClr="000000"/>
                </a:solidFill>
                <a:latin typeface="Verdana Pro SemiBold" panose="020B0604020202020204" pitchFamily="34" charset="0"/>
              </a:rPr>
              <a:t> only</a:t>
            </a:r>
            <a:endParaRPr lang="en-AU">
              <a:solidFill>
                <a:sysClr val="windowText" lastClr="000000"/>
              </a:solidFill>
              <a:latin typeface="Verdana Pro SemiBold" panose="020B0604020202020204" pitchFamily="34" charset="0"/>
            </a:endParaRPr>
          </a:p>
        </c:rich>
      </c:tx>
      <c:layout>
        <c:manualLayout>
          <c:xMode val="edge"/>
          <c:yMode val="edge"/>
          <c:x val="0.29519254347224239"/>
          <c:y val="4.22945931758530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069824065988173"/>
          <c:y val="0.17147480351363847"/>
          <c:w val="0.79893012243106509"/>
          <c:h val="0.597720406140955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'Std FIRE'!$E$15</c:f>
              <c:strCache>
                <c:ptCount val="1"/>
                <c:pt idx="0">
                  <c:v>Portfolio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'Std FIRE'!$D$16:$D$58</c:f>
              <c:numCache>
                <c:formatCode>General</c:formatCode>
                <c:ptCount val="4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</c:numCache>
            </c:numRef>
          </c:xVal>
          <c:yVal>
            <c:numRef>
              <c:f>'Std FIRE'!$E$16:$E$58</c:f>
              <c:numCache>
                <c:formatCode>_-"$"* #,##0_-;\-"$"* #,##0_-;_-"$"* "-"??_-;_-@_-</c:formatCode>
                <c:ptCount val="43"/>
                <c:pt idx="0">
                  <c:v>0</c:v>
                </c:pt>
                <c:pt idx="1">
                  <c:v>40033</c:v>
                </c:pt>
                <c:pt idx="2">
                  <c:v>83668.97</c:v>
                </c:pt>
                <c:pt idx="3">
                  <c:v>131176.1311</c:v>
                </c:pt>
                <c:pt idx="4">
                  <c:v>182841.80014100001</c:v>
                </c:pt>
                <c:pt idx="5">
                  <c:v>238973.73281215003</c:v>
                </c:pt>
                <c:pt idx="6">
                  <c:v>299901.56090350612</c:v>
                </c:pt>
                <c:pt idx="7">
                  <c:v>365978.33029714727</c:v>
                </c:pt>
                <c:pt idx="8">
                  <c:v>437582.14675095124</c:v>
                </c:pt>
                <c:pt idx="9">
                  <c:v>515117.93702318158</c:v>
                </c:pt>
                <c:pt idx="10">
                  <c:v>599019.33341446135</c:v>
                </c:pt>
                <c:pt idx="11">
                  <c:v>689750.69036912383</c:v>
                </c:pt>
                <c:pt idx="12">
                  <c:v>787809.2423829257</c:v>
                </c:pt>
                <c:pt idx="13">
                  <c:v>893727.41311145294</c:v>
                </c:pt>
                <c:pt idx="14">
                  <c:v>1008075.2862662115</c:v>
                </c:pt>
                <c:pt idx="15">
                  <c:v>1131463.2496265424</c:v>
                </c:pt>
                <c:pt idx="16">
                  <c:v>1264544.8242885303</c:v>
                </c:pt>
                <c:pt idx="17">
                  <c:v>1408019.69212062</c:v>
                </c:pt>
                <c:pt idx="18">
                  <c:v>1562636.935303594</c:v>
                </c:pt>
                <c:pt idx="19">
                  <c:v>1729198.5028040668</c:v>
                </c:pt>
                <c:pt idx="20">
                  <c:v>1908562.9196701569</c:v>
                </c:pt>
                <c:pt idx="21">
                  <c:v>2101649.2561502694</c:v>
                </c:pt>
                <c:pt idx="22">
                  <c:v>2309441.3748260541</c:v>
                </c:pt>
                <c:pt idx="23">
                  <c:v>2532992.4752240488</c:v>
                </c:pt>
                <c:pt idx="24">
                  <c:v>2773429.9567331066</c:v>
                </c:pt>
                <c:pt idx="25">
                  <c:v>3031960.6221126658</c:v>
                </c:pt>
                <c:pt idx="26">
                  <c:v>3309876.245436959</c:v>
                </c:pt>
                <c:pt idx="27">
                  <c:v>3608559.529989481</c:v>
                </c:pt>
                <c:pt idx="28">
                  <c:v>3929490.4834081181</c:v>
                </c:pt>
                <c:pt idx="29">
                  <c:v>4274253.2392924475</c:v>
                </c:pt>
                <c:pt idx="30">
                  <c:v>4644543.3565295953</c:v>
                </c:pt>
                <c:pt idx="31">
                  <c:v>5042175.6297830762</c:v>
                </c:pt>
                <c:pt idx="32">
                  <c:v>5469092.4469302297</c:v>
                </c:pt>
                <c:pt idx="33">
                  <c:v>5927372.7317389315</c:v>
                </c:pt>
                <c:pt idx="34">
                  <c:v>6419241.5127547132</c:v>
                </c:pt>
                <c:pt idx="35">
                  <c:v>6947080.1622374812</c:v>
                </c:pt>
                <c:pt idx="36">
                  <c:v>7513437.3520558421</c:v>
                </c:pt>
                <c:pt idx="37">
                  <c:v>8121040.7767307218</c:v>
                </c:pt>
                <c:pt idx="38">
                  <c:v>8772809.6973334625</c:v>
                </c:pt>
                <c:pt idx="39">
                  <c:v>9471868.3637030274</c:v>
                </c:pt>
                <c:pt idx="40">
                  <c:v>10221560.376469586</c:v>
                </c:pt>
                <c:pt idx="41">
                  <c:v>11025464.054675952</c:v>
                </c:pt>
                <c:pt idx="42">
                  <c:v>11887408.879393833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03A-4CD4-877B-DFC7A2247F01}"/>
            </c:ext>
          </c:extLst>
        </c:ser>
        <c:ser>
          <c:idx val="1"/>
          <c:order val="1"/>
          <c:tx>
            <c:strRef>
              <c:f>'Std FIRE'!$G$15</c:f>
              <c:strCache>
                <c:ptCount val="1"/>
                <c:pt idx="0">
                  <c:v>Super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'Std FIRE'!$D$16:$D$58</c:f>
              <c:numCache>
                <c:formatCode>General</c:formatCode>
                <c:ptCount val="4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</c:numCache>
            </c:numRef>
          </c:xVal>
          <c:yVal>
            <c:numRef>
              <c:f>'Std FIRE'!$G$16:$G$58</c:f>
              <c:numCache>
                <c:formatCode>_-"$"* #,##0_-;\-"$"* #,##0_-;_-"$"* "-"??_-;_-@_-</c:formatCode>
                <c:ptCount val="43"/>
                <c:pt idx="0">
                  <c:v>0</c:v>
                </c:pt>
                <c:pt idx="1">
                  <c:v>9500</c:v>
                </c:pt>
                <c:pt idx="2">
                  <c:v>19665</c:v>
                </c:pt>
                <c:pt idx="3">
                  <c:v>30541.550000000003</c:v>
                </c:pt>
                <c:pt idx="4">
                  <c:v>42179.458500000008</c:v>
                </c:pt>
                <c:pt idx="5">
                  <c:v>54632.020595000009</c:v>
                </c:pt>
                <c:pt idx="6">
                  <c:v>67956.262036650005</c:v>
                </c:pt>
                <c:pt idx="7">
                  <c:v>82213.200379215516</c:v>
                </c:pt>
                <c:pt idx="8">
                  <c:v>97468.124405760609</c:v>
                </c:pt>
                <c:pt idx="9">
                  <c:v>113790.89311416386</c:v>
                </c:pt>
                <c:pt idx="10">
                  <c:v>131256.25563215534</c:v>
                </c:pt>
                <c:pt idx="11">
                  <c:v>149944.19352640622</c:v>
                </c:pt>
                <c:pt idx="12">
                  <c:v>169940.28707325467</c:v>
                </c:pt>
                <c:pt idx="13">
                  <c:v>191336.1071683825</c:v>
                </c:pt>
                <c:pt idx="14">
                  <c:v>214229.6346701693</c:v>
                </c:pt>
                <c:pt idx="15">
                  <c:v>238725.70909708116</c:v>
                </c:pt>
                <c:pt idx="16">
                  <c:v>264936.50873387686</c:v>
                </c:pt>
                <c:pt idx="17">
                  <c:v>292982.06434524828</c:v>
                </c:pt>
                <c:pt idx="18">
                  <c:v>322990.80884941568</c:v>
                </c:pt>
                <c:pt idx="19">
                  <c:v>355100.16546887479</c:v>
                </c:pt>
                <c:pt idx="20">
                  <c:v>389457.17705169605</c:v>
                </c:pt>
                <c:pt idx="21">
                  <c:v>426219.1794453148</c:v>
                </c:pt>
                <c:pt idx="22">
                  <c:v>465554.52200648689</c:v>
                </c:pt>
                <c:pt idx="23">
                  <c:v>507643.338546941</c:v>
                </c:pt>
                <c:pt idx="24">
                  <c:v>552678.37224522687</c:v>
                </c:pt>
                <c:pt idx="25">
                  <c:v>600865.85830239276</c:v>
                </c:pt>
                <c:pt idx="26">
                  <c:v>652426.46838356031</c:v>
                </c:pt>
                <c:pt idx="27">
                  <c:v>707596.32117040956</c:v>
                </c:pt>
                <c:pt idx="28">
                  <c:v>766628.06365233823</c:v>
                </c:pt>
                <c:pt idx="29">
                  <c:v>829792.02810800192</c:v>
                </c:pt>
                <c:pt idx="30">
                  <c:v>897377.47007556213</c:v>
                </c:pt>
                <c:pt idx="31">
                  <c:v>969693.89298085158</c:v>
                </c:pt>
                <c:pt idx="32">
                  <c:v>1047072.4654895113</c:v>
                </c:pt>
                <c:pt idx="33">
                  <c:v>1129867.5380737772</c:v>
                </c:pt>
                <c:pt idx="34">
                  <c:v>1218458.2657389417</c:v>
                </c:pt>
                <c:pt idx="35">
                  <c:v>1313250.3443406678</c:v>
                </c:pt>
                <c:pt idx="36">
                  <c:v>1414677.8684445147</c:v>
                </c:pt>
                <c:pt idx="37">
                  <c:v>1523205.3192356308</c:v>
                </c:pt>
                <c:pt idx="38">
                  <c:v>1639329.6915821251</c:v>
                </c:pt>
                <c:pt idx="39">
                  <c:v>1763582.769992874</c:v>
                </c:pt>
                <c:pt idx="40">
                  <c:v>1896533.5638923752</c:v>
                </c:pt>
                <c:pt idx="41">
                  <c:v>2038790.9133648416</c:v>
                </c:pt>
                <c:pt idx="42">
                  <c:v>2191006.2773003806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03A-4CD4-877B-DFC7A2247F01}"/>
            </c:ext>
          </c:extLst>
        </c:ser>
        <c:ser>
          <c:idx val="2"/>
          <c:order val="2"/>
          <c:tx>
            <c:strRef>
              <c:f>'Std FIRE'!$H$15</c:f>
              <c:strCache>
                <c:ptCount val="1"/>
                <c:pt idx="0">
                  <c:v>Portfolio + super</c:v>
                </c:pt>
              </c:strCache>
            </c:strRef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'Std FIRE'!$D$16:$D$58</c:f>
              <c:numCache>
                <c:formatCode>General</c:formatCode>
                <c:ptCount val="4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</c:numCache>
            </c:numRef>
          </c:xVal>
          <c:yVal>
            <c:numRef>
              <c:f>'Std FIRE'!$H$16:$H$58</c:f>
              <c:numCache>
                <c:formatCode>_-"$"* #,##0_-;\-"$"* #,##0_-;_-"$"* "-"??_-;_-@_-</c:formatCode>
                <c:ptCount val="43"/>
                <c:pt idx="0">
                  <c:v>0</c:v>
                </c:pt>
                <c:pt idx="1">
                  <c:v>49533</c:v>
                </c:pt>
                <c:pt idx="2">
                  <c:v>103333.97</c:v>
                </c:pt>
                <c:pt idx="3">
                  <c:v>161717.68109999999</c:v>
                </c:pt>
                <c:pt idx="4">
                  <c:v>225021.25864100002</c:v>
                </c:pt>
                <c:pt idx="5">
                  <c:v>293605.75340715004</c:v>
                </c:pt>
                <c:pt idx="6">
                  <c:v>367857.8229401561</c:v>
                </c:pt>
                <c:pt idx="7">
                  <c:v>448191.5306763628</c:v>
                </c:pt>
                <c:pt idx="8">
                  <c:v>535050.27115671185</c:v>
                </c:pt>
                <c:pt idx="9">
                  <c:v>628908.83013734547</c:v>
                </c:pt>
                <c:pt idx="10">
                  <c:v>730275.58904661669</c:v>
                </c:pt>
                <c:pt idx="11">
                  <c:v>839694.88389553002</c:v>
                </c:pt>
                <c:pt idx="12">
                  <c:v>957749.5294561804</c:v>
                </c:pt>
                <c:pt idx="13">
                  <c:v>1085063.5202798354</c:v>
                </c:pt>
                <c:pt idx="14">
                  <c:v>1222304.9209363807</c:v>
                </c:pt>
                <c:pt idx="15">
                  <c:v>1370188.9587236235</c:v>
                </c:pt>
                <c:pt idx="16">
                  <c:v>1529481.3330224073</c:v>
                </c:pt>
                <c:pt idx="17">
                  <c:v>1701001.7564658683</c:v>
                </c:pt>
                <c:pt idx="18">
                  <c:v>1885627.7441530097</c:v>
                </c:pt>
                <c:pt idx="19">
                  <c:v>2084298.6682729416</c:v>
                </c:pt>
                <c:pt idx="20">
                  <c:v>2298020.0967218531</c:v>
                </c:pt>
                <c:pt idx="21">
                  <c:v>2527868.4355955841</c:v>
                </c:pt>
                <c:pt idx="22">
                  <c:v>2774995.8968325411</c:v>
                </c:pt>
                <c:pt idx="23">
                  <c:v>3040635.8137709899</c:v>
                </c:pt>
                <c:pt idx="24">
                  <c:v>3326108.3289783336</c:v>
                </c:pt>
                <c:pt idx="25">
                  <c:v>3632826.4804150583</c:v>
                </c:pt>
                <c:pt idx="26">
                  <c:v>3962302.7138205194</c:v>
                </c:pt>
                <c:pt idx="27">
                  <c:v>4316155.8511598902</c:v>
                </c:pt>
                <c:pt idx="28">
                  <c:v>4696118.5470604561</c:v>
                </c:pt>
                <c:pt idx="29">
                  <c:v>5104045.2674004491</c:v>
                </c:pt>
                <c:pt idx="30">
                  <c:v>5541920.8266051579</c:v>
                </c:pt>
                <c:pt idx="31">
                  <c:v>6011869.5227639275</c:v>
                </c:pt>
                <c:pt idx="32">
                  <c:v>6516164.912419741</c:v>
                </c:pt>
                <c:pt idx="33">
                  <c:v>7057240.2698127087</c:v>
                </c:pt>
                <c:pt idx="34">
                  <c:v>7637699.7784936549</c:v>
                </c:pt>
                <c:pt idx="35">
                  <c:v>8260330.5065781493</c:v>
                </c:pt>
                <c:pt idx="36">
                  <c:v>8928115.2205003574</c:v>
                </c:pt>
                <c:pt idx="37">
                  <c:v>9644246.0959663521</c:v>
                </c:pt>
                <c:pt idx="38">
                  <c:v>10412139.388915587</c:v>
                </c:pt>
                <c:pt idx="39">
                  <c:v>11235451.1336959</c:v>
                </c:pt>
                <c:pt idx="40">
                  <c:v>12118093.940361962</c:v>
                </c:pt>
                <c:pt idx="41">
                  <c:v>13064254.968040794</c:v>
                </c:pt>
                <c:pt idx="42">
                  <c:v>14078415.156694213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03A-4CD4-877B-DFC7A2247F01}"/>
            </c:ext>
          </c:extLst>
        </c:ser>
        <c:ser>
          <c:idx val="3"/>
          <c:order val="3"/>
          <c:tx>
            <c:strRef>
              <c:f>'Std FIRE'!$J$15</c:f>
              <c:strCache>
                <c:ptCount val="1"/>
                <c:pt idx="0">
                  <c:v>Required Portfolio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'Std FIRE'!$D$17:$D$58</c:f>
              <c:numCache>
                <c:formatCode>General</c:formatCode>
                <c:ptCount val="4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</c:numCache>
            </c:numRef>
          </c:xVal>
          <c:yVal>
            <c:numRef>
              <c:f>'Std FIRE'!$J$17:$J$58</c:f>
              <c:numCache>
                <c:formatCode>_-"$"* #,##0_-;\-"$"* #,##0_-;_-"$"* "-"??_-;_-@_-</c:formatCode>
                <c:ptCount val="42"/>
                <c:pt idx="0">
                  <c:v>875000</c:v>
                </c:pt>
                <c:pt idx="1">
                  <c:v>892500</c:v>
                </c:pt>
                <c:pt idx="2">
                  <c:v>910350</c:v>
                </c:pt>
                <c:pt idx="3">
                  <c:v>928557</c:v>
                </c:pt>
                <c:pt idx="4">
                  <c:v>947128.14</c:v>
                </c:pt>
                <c:pt idx="5">
                  <c:v>966070.70280000009</c:v>
                </c:pt>
                <c:pt idx="6">
                  <c:v>985392.11685600004</c:v>
                </c:pt>
                <c:pt idx="7">
                  <c:v>1005099.95919312</c:v>
                </c:pt>
                <c:pt idx="8">
                  <c:v>1025201.9583769825</c:v>
                </c:pt>
                <c:pt idx="9">
                  <c:v>1045705.9975445222</c:v>
                </c:pt>
                <c:pt idx="10">
                  <c:v>1066620.1174954125</c:v>
                </c:pt>
                <c:pt idx="11">
                  <c:v>1087952.5198453208</c:v>
                </c:pt>
                <c:pt idx="12">
                  <c:v>1109711.5702422273</c:v>
                </c:pt>
                <c:pt idx="13">
                  <c:v>1131905.8016470717</c:v>
                </c:pt>
                <c:pt idx="14">
                  <c:v>1154543.9176800132</c:v>
                </c:pt>
                <c:pt idx="15">
                  <c:v>1177634.7960336134</c:v>
                </c:pt>
                <c:pt idx="16">
                  <c:v>1201187.4919542857</c:v>
                </c:pt>
                <c:pt idx="17">
                  <c:v>1225211.2417933715</c:v>
                </c:pt>
                <c:pt idx="18">
                  <c:v>1249715.466629239</c:v>
                </c:pt>
                <c:pt idx="19">
                  <c:v>1274709.7759618238</c:v>
                </c:pt>
                <c:pt idx="20">
                  <c:v>1300203.9714810604</c:v>
                </c:pt>
                <c:pt idx="21">
                  <c:v>1326208.0509106815</c:v>
                </c:pt>
                <c:pt idx="22">
                  <c:v>1352732.2119288952</c:v>
                </c:pt>
                <c:pt idx="23">
                  <c:v>1379786.8561674731</c:v>
                </c:pt>
                <c:pt idx="24">
                  <c:v>1407382.5932908226</c:v>
                </c:pt>
                <c:pt idx="25">
                  <c:v>1435530.245156639</c:v>
                </c:pt>
                <c:pt idx="26">
                  <c:v>1464240.8500597719</c:v>
                </c:pt>
                <c:pt idx="27">
                  <c:v>1493525.6670609675</c:v>
                </c:pt>
                <c:pt idx="28">
                  <c:v>1523396.1804021867</c:v>
                </c:pt>
                <c:pt idx="29">
                  <c:v>1553864.1040102306</c:v>
                </c:pt>
                <c:pt idx="30">
                  <c:v>1584941.3860904353</c:v>
                </c:pt>
                <c:pt idx="31">
                  <c:v>1616640.2138122441</c:v>
                </c:pt>
                <c:pt idx="32">
                  <c:v>1648973.0180884888</c:v>
                </c:pt>
                <c:pt idx="33">
                  <c:v>1681952.4784502587</c:v>
                </c:pt>
                <c:pt idx="34">
                  <c:v>1715591.5280192639</c:v>
                </c:pt>
                <c:pt idx="35">
                  <c:v>1749903.3585796494</c:v>
                </c:pt>
                <c:pt idx="36">
                  <c:v>1784901.4257512423</c:v>
                </c:pt>
                <c:pt idx="37">
                  <c:v>1820599.4542662671</c:v>
                </c:pt>
                <c:pt idx="38">
                  <c:v>1857011.4433515926</c:v>
                </c:pt>
                <c:pt idx="39">
                  <c:v>1894151.6722186247</c:v>
                </c:pt>
                <c:pt idx="40">
                  <c:v>1932034.7056629972</c:v>
                </c:pt>
                <c:pt idx="41">
                  <c:v>1970675.3997762571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03A-4CD4-877B-DFC7A2247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1465743"/>
        <c:axId val="961564271"/>
        <c:extLst/>
      </c:scatterChart>
      <c:valAx>
        <c:axId val="71146574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1564271"/>
        <c:crosses val="autoZero"/>
        <c:crossBetween val="midCat"/>
        <c:majorUnit val="2"/>
      </c:valAx>
      <c:valAx>
        <c:axId val="96156427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146574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1561819132620552"/>
          <c:y val="0.8729702887139108"/>
          <c:w val="0.79961996668995738"/>
          <c:h val="8.62132947667255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customXml" Target="../ink/ink2.xml"/><Relationship Id="rId7" Type="http://schemas.openxmlformats.org/officeDocument/2006/relationships/customXml" Target="../ink/ink4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6" Type="http://schemas.openxmlformats.org/officeDocument/2006/relationships/image" Target="../media/image3.png"/><Relationship Id="rId5" Type="http://schemas.openxmlformats.org/officeDocument/2006/relationships/customXml" Target="../ink/ink3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381000</xdr:colOff>
      <xdr:row>14</xdr:row>
      <xdr:rowOff>38100</xdr:rowOff>
    </xdr:from>
    <xdr:to>
      <xdr:col>22</xdr:col>
      <xdr:colOff>583575</xdr:colOff>
      <xdr:row>37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F01559-BE7D-4C84-9EAC-7F4D646892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381000</xdr:colOff>
      <xdr:row>14</xdr:row>
      <xdr:rowOff>38100</xdr:rowOff>
    </xdr:from>
    <xdr:to>
      <xdr:col>22</xdr:col>
      <xdr:colOff>583575</xdr:colOff>
      <xdr:row>37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E44255-2ABB-4F16-957B-352BA871B6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381000</xdr:colOff>
      <xdr:row>14</xdr:row>
      <xdr:rowOff>38100</xdr:rowOff>
    </xdr:from>
    <xdr:to>
      <xdr:col>21</xdr:col>
      <xdr:colOff>583575</xdr:colOff>
      <xdr:row>37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09418B0-3283-4E27-AD7E-9B45041794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296760</xdr:colOff>
      <xdr:row>2</xdr:row>
      <xdr:rowOff>75960</xdr:rowOff>
    </xdr:from>
    <xdr:to>
      <xdr:col>8</xdr:col>
      <xdr:colOff>206040</xdr:colOff>
      <xdr:row>16</xdr:row>
      <xdr:rowOff>118440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3" name="Ink 22">
              <a:extLst>
                <a:ext uri="{FF2B5EF4-FFF2-40B4-BE49-F238E27FC236}">
                  <a16:creationId xmlns:a16="http://schemas.microsoft.com/office/drawing/2014/main" id="{574A05DE-F4BB-451D-BF1C-6D8CE63348D3}"/>
                </a:ext>
              </a:extLst>
            </xdr14:cNvPr>
            <xdr14:cNvContentPartPr/>
          </xdr14:nvContentPartPr>
          <xdr14:nvPr macro=""/>
          <xdr14:xfrm>
            <a:off x="1515960" y="441720"/>
            <a:ext cx="3566880" cy="2602800"/>
          </xdr14:xfrm>
        </xdr:contentPart>
      </mc:Choice>
      <mc:Fallback xmlns="">
        <xdr:pic>
          <xdr:nvPicPr>
            <xdr:cNvPr id="23" name="Ink 22">
              <a:extLst>
                <a:ext uri="{FF2B5EF4-FFF2-40B4-BE49-F238E27FC236}">
                  <a16:creationId xmlns:a16="http://schemas.microsoft.com/office/drawing/2014/main" id="{574A05DE-F4BB-451D-BF1C-6D8CE63348D3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507320" y="433080"/>
              <a:ext cx="3584520" cy="26204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441480</xdr:colOff>
      <xdr:row>9</xdr:row>
      <xdr:rowOff>114120</xdr:rowOff>
    </xdr:from>
    <xdr:to>
      <xdr:col>11</xdr:col>
      <xdr:colOff>441840</xdr:colOff>
      <xdr:row>9</xdr:row>
      <xdr:rowOff>114480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A5C83CC7-91CD-4060-BED4-749971C3A2E9}"/>
                </a:ext>
              </a:extLst>
            </xdr14:cNvPr>
            <xdr14:cNvContentPartPr/>
          </xdr14:nvContentPartPr>
          <xdr14:nvPr macro=""/>
          <xdr14:xfrm>
            <a:off x="7147080" y="176004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A5C83CC7-91CD-4060-BED4-749971C3A2E9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7138440" y="17510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106680</xdr:colOff>
      <xdr:row>10</xdr:row>
      <xdr:rowOff>52920</xdr:rowOff>
    </xdr:from>
    <xdr:to>
      <xdr:col>8</xdr:col>
      <xdr:colOff>107040</xdr:colOff>
      <xdr:row>10</xdr:row>
      <xdr:rowOff>53280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5" name="Ink 14">
              <a:extLst>
                <a:ext uri="{FF2B5EF4-FFF2-40B4-BE49-F238E27FC236}">
                  <a16:creationId xmlns:a16="http://schemas.microsoft.com/office/drawing/2014/main" id="{B2E3C149-0020-4027-A3D6-65C9C6145283}"/>
                </a:ext>
              </a:extLst>
            </xdr14:cNvPr>
            <xdr14:cNvContentPartPr/>
          </xdr14:nvContentPartPr>
          <xdr14:nvPr macro=""/>
          <xdr14:xfrm>
            <a:off x="4983480" y="1881720"/>
            <a:ext cx="360" cy="360"/>
          </xdr14:xfrm>
        </xdr:contentPart>
      </mc:Choice>
      <mc:Fallback xmlns="">
        <xdr:pic>
          <xdr:nvPicPr>
            <xdr:cNvPr id="15" name="Ink 14">
              <a:extLst>
                <a:ext uri="{FF2B5EF4-FFF2-40B4-BE49-F238E27FC236}">
                  <a16:creationId xmlns:a16="http://schemas.microsoft.com/office/drawing/2014/main" id="{B2E3C149-0020-4027-A3D6-65C9C6145283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4974480" y="1872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15120</xdr:colOff>
      <xdr:row>6</xdr:row>
      <xdr:rowOff>98640</xdr:rowOff>
    </xdr:from>
    <xdr:to>
      <xdr:col>7</xdr:col>
      <xdr:colOff>347640</xdr:colOff>
      <xdr:row>14</xdr:row>
      <xdr:rowOff>123120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29" name="Ink 28">
              <a:extLst>
                <a:ext uri="{FF2B5EF4-FFF2-40B4-BE49-F238E27FC236}">
                  <a16:creationId xmlns:a16="http://schemas.microsoft.com/office/drawing/2014/main" id="{B036CBCC-DAE3-41DA-A210-050369F786A1}"/>
                </a:ext>
              </a:extLst>
            </xdr14:cNvPr>
            <xdr14:cNvContentPartPr/>
          </xdr14:nvContentPartPr>
          <xdr14:nvPr macro=""/>
          <xdr14:xfrm>
            <a:off x="1843920" y="1195920"/>
            <a:ext cx="2770920" cy="1487520"/>
          </xdr14:xfrm>
        </xdr:contentPart>
      </mc:Choice>
      <mc:Fallback xmlns="">
        <xdr:pic>
          <xdr:nvPicPr>
            <xdr:cNvPr id="29" name="Ink 28">
              <a:extLst>
                <a:ext uri="{FF2B5EF4-FFF2-40B4-BE49-F238E27FC236}">
                  <a16:creationId xmlns:a16="http://schemas.microsoft.com/office/drawing/2014/main" id="{B036CBCC-DAE3-41DA-A210-050369F786A1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1834920" y="1186920"/>
              <a:ext cx="2788560" cy="150516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4-06T03:18:34.082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847 1,'0'10,"1"2,1-1,0 1,2 9,5 21,12 102,-6 12,3 135,12 918,-84 675,-67-549,-60-21,130-994,-13 45,48-281</inkml:trace>
  <inkml:trace contextRef="#ctx0" brushRef="#br0" timeOffset="881.25">1 6326,'7'0,"10"0,23 4,16 1,59 3,58 0,175 4,219 2,247-1,220-3,73-1,69 2,-22 6,-99-2,-164-2,-227-5,-226 2,-187-2</inkml:trace>
  <inkml:trace contextRef="#ctx0" brushRef="#br0" timeOffset="2828.04">339 2072,'165'3,"19"2,112 1,109-2,105 2,140 2,138 4,717 15,787 11,-1993-35,-275-5,0-1,-1 0,21-7,39-7,73 7,62 8,102-7,-269 5</inkml:trace>
  <inkml:trace contextRef="#ctx0" brushRef="#br0" timeOffset="8695.01">8658 1675,'0'8,"0"5,0 6,4 9,0 8,8 18,1 9,-1 3,-3 0,-3-3,-3-1,3-11,-1-7,0-7,-2-2,-1-11,0-10</inkml:trace>
  <inkml:trace contextRef="#ctx0" brushRef="#br0" timeOffset="9398.19">8658 1653,'0'-8,"4"-1,7-1,7 3,3 1,2 3,4 5,5 2,1 1,1 2,-1 2,-3-3,-6-1</inkml:trace>
  <inkml:trace contextRef="#ctx0" brushRef="#br0" timeOffset="10030.72">8785 2005,'7'0,"6"0,8 0,8 0,2 0,0 0,-2 0,1 0,0 0,-3 0,-1-3,-6-2</inkml:trace>
  <inkml:trace contextRef="#ctx0" brushRef="#br0" timeOffset="11299.29">9187 2359,'0'112,"2"-105,2-15,3-17,-4 3,2 1,4-15,-7 28,1 1,0 0,0-1,0 2,1-1,0 1,0-1,1 1,2-3,-6 8,0 0,0 0,1 0,-1 0,0 0,1 0,-1 1,0-2,1 1,-1 1,1-1,-1 1,1-1,0 1,-1 0,1 0,-1 0,1 0,0 0,-1 0,1 0,-1 0,1 1,-1-1,1 0,-1 1,1 0,-1-1,1 2,-1-1,1 0,-1-1,0 1,0 0,2 1,4 5,0 0,0 1,-1 0,1 0,1 5,-1-4,44 63,17 36,-52-78</inkml:trace>
  <inkml:trace contextRef="#ctx0" brushRef="#br0" timeOffset="19647.68">6816 2095,'1'30,"1"0,6 28,3 20,27 1033,-37-957,3 1475,-24-1048,2-367,-33 144,39-300</inkml:trace>
  <inkml:trace contextRef="#ctx0" brushRef="#br0" timeOffset="21109.94">6647 6832,'-5'2,"0"0,0 0,1 0,-1 0,1 1,-1 0,1 0,0 0,0 0,0 2,0-2,1 1,-2 2,-14 13,-1-2,-24 20,0 3,3 0,-35 47,50-53,1 2,2 2,1-1,2 3,2 1,1-1,-5 25,20-59,1-1,-1 0,2 2,-1-2,0 0,1 1,0 0,1 1,-1-5,0-1,0 0,1 1,-1-1,0 0,1 0,-1 1,1-1,0 0,-1 0,1 0,0 0,0 1,-1-1,1 0,0 0,0 0,0 0,0 0,1 0,-1-1,0 1,0 0,0-1,0 1,1-1,-1 0,0 1,1-1,-1 0,0 0,1 0,-1 0,1 0,4 0,1 0,-1-1,1 0,-1 0,0-1,0 0,0 0,0 0,0-2,0 1,0 0,-1 0,0-1,1 0,-1 0,-1-1,2-1,14-15,-1-1,-1 0,7-16,25-30,-48 66,0-1,0 0,0 0,0 0,-1 0,1 0,-1-1,0 1,0-1,0 1,0 0,-1-1,1 1,-1-2,0 2,0 0,0-1,0 1,-1-3,0 4,1 0,0 0,-1 1,0-1,1 1,-1-1,0 1,1-1,-1 1,0 0,0 0,0-1,0 1,-1 0,1 0,0 0,0 0,-1 0,1 0,-1 1,1-1,0-1,-1 2,1-1,-1 1,0-1,1 1,-1 0,1 0,-1-1,0 1,1 0,-1 1,1-1,-1 0,0 0,1 1,-1-1,1 1,-1-1,0 2,-5 1</inkml:trace>
  <inkml:trace contextRef="#ctx0" brushRef="#br0" timeOffset="22197.14">6880 6943,'-3'0,"-1"0,1 0,-1 1,1 0,0 0,-1 0,1 0,0 0,0 1,0-1,0 1,0 0,0 0,0 1,1-1,-1 0,1 1,0-1,-1 1,1 0,-1 2,-6 10,2 0,0-1,0 1,-1 8,-9 18,4-15,5-12,1 0,1 1,0 1,0-2,1 2,1 0,-1 8,5-22,0-1,0 2,0-2,0 1,0-1,1 1,-1 0,0-1,1 1,-1-1,1 1,-1-1,1 1,0-1,0 0,-1 1,1-1,0 1,0-1,1 1,-1-1,0 0,0 0,0 0,1 0,-1-1,0 1,1 0,-1 0,1-1,-1 1,1-1,-1 1,1-1,-1 0,2 0,7 2,1-1,-1-1,0 0,1-1,4 0,1 0,-3 0,-3 0,-1 0,1 1,0 1,-1-1,1 2,4 0,-12-1,1 0,-1-1,0 1,1 1,-1-1,0 0,1 0,-1 2,0-1,0-1,0 1,-1 0,1 0,0 0,-1 0,1 0,-1 0,1 0,-1 1,0 0,0 0,0-1,-1 1,1-1,0 1,-1 0,1 1,-1 1,1-1,-1 0,0 0,0 0,0 0,-1 1,1-1,-1-1,0 1,0 0,-1 0,1-1,-1 2,0-1,0-1,0 0,0 1,0-1,-1 0,1 1,-1-1,0-1,0 1,0-1,0 1,-1-1,1 0,-1 0,1-1,-2 1,-7 4,1-1,-1-1,0-1,0 0,0-1,0 0,0-1,-1 1,-7-2,17 0,0 0,1 0,-1-2,0 2,1-1,-1 1,1-1,-1 0,1 0,-1 0,1-1,-1 1,1 0,0-1,0 0,-1 0,-8-13</inkml:trace>
  <inkml:trace contextRef="#ctx0" brushRef="#br0" timeOffset="22773.77">6922 6898,'4'0,"4"0,5 0,18 0,15 0,17 0,16 0,16 0,14 0,3 0,-19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4-06T04:18:01.955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4-06T04:19:15.433"/>
    </inkml:context>
    <inkml:brush xml:id="br0">
      <inkml:brushProperty name="width" value="0.05" units="cm"/>
      <inkml:brushProperty name="height" value="0.05" units="cm"/>
      <inkml:brushProperty name="color" value="#00A0D7"/>
      <inkml:brushProperty name="ignorePressure" value="1"/>
    </inkml:brush>
  </inkml:definitions>
  <inkml:trace contextRef="#ctx0" brushRef="#br0">0 1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4-06T04:18:39.172"/>
    </inkml:context>
    <inkml:brush xml:id="br0">
      <inkml:brushProperty name="width" value="0.05" units="cm"/>
      <inkml:brushProperty name="height" value="0.05" units="cm"/>
      <inkml:brushProperty name="ignorePressure" value="1"/>
    </inkml:brush>
    <inkml:brush xml:id="br1">
      <inkml:brushProperty name="width" value="0.05" units="cm"/>
      <inkml:brushProperty name="height" value="0.05" units="cm"/>
      <inkml:brushProperty name="color" value="#00A0D7"/>
      <inkml:brushProperty name="ignorePressure" value="1"/>
    </inkml:brush>
    <inkml:brush xml:id="br2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2879 1,'3'0,"0"1,0-1,0 1,0 0,0 1,0-1,0 0,-1 1,1-1,-1 1,1 1,-1-1,1 0,-1 0,0 1,0-1,0 0,0 1,-1 0,1-1,-1 2,1-1,-1 0,0 0,0 0,5 12,-1-2,-1 2,0 0,1 11,0 26,-2 0,-2 0,-4 32,1 6,-37 552,31-475,8 87,-1 64,-17-56,-2 76,15-268,-10 57,4-47,3 10,-9 465,-13 280,27-758,-2-57</inkml:trace>
  <inkml:trace contextRef="#ctx0" brushRef="#br1" timeOffset="38623.68">0 2294,'9'-2,"-1"1,1-1,-1 0,1-1,-1 0,0-1,0 0,4-2,26-11,5 4,1 2,29-3,22-5,380-106,-349 82,-2-4,86-50,-84 31,89-66,-162 95,-2-1,-2-4,-1-2,-3-1,6-12,94-125,113-193,-208 292,-3-3,17-33,-28 51,-25 45,1 1,0 0,2 2,0-1,6-4,14-10,31-24,-30 29,-2-1,-1-3,4-1,-20 23</inkml:trace>
  <inkml:trace contextRef="#ctx0" brushRef="#br1" timeOffset="40142.43">2900 133,'7'-4,"1"1,-1 1,1-1,0 1,0 1,0-1,0 1,0 1,0-2,0 2,0 2,0-1,0 0,19 4,0 1,0 2,5 4,1-1,-3-1,353 118,8 23,-321-116,-1 4,-1 1,59 51,-30-28,84 41,-69-42,26 24,-75-39,48 48,-7-6,-18-23,-47-38,-1 2,-1 1,-2 1,-1 2,23 32,104 169,-57-71,-87-137,-1 1,7 20,-11-24,0 0,2 0,0-1,5 4,-13-22,0 0,0-1,1 2,0-2,0 0,0-1,0 0,0 0,1 0,0 0,6 0,3 1</inkml:trace>
  <inkml:trace contextRef="#ctx0" brushRef="#br1" timeOffset="43492.14">6371 1985,'0'10,"0"9,0 12,0 8,0 8,0 1,0-5,0-5,0-3,0-3,0-2,0-4,0 2,0 0,0-2,0-11,0-14,0-6</inkml:trace>
  <inkml:trace contextRef="#ctx0" brushRef="#br1" timeOffset="45546.36">6371 2007,'29'-1,"-13"0,0 1,0 1,1 0,-1 1,2 2,-13-3,-1 0,1 1,-1 0,1-1,-1 2,0-1,1 2,-1-2,0 1,-1 0,1 0,-1 1,1-1,-1 2,0-1,0 0,0 0,-1 0,1 1,3 9,-1-1,0 2,0-1,-2 0,0 1,0-1,-1 1,-1-1,0 1,-1 0,-1 0,-1 6,2-19,-1 1,1-1,-1 1,0 0,0-1,0 1,0-1,0 0,0 0,-1 0,1 0,-1 0,1 0,-1 0,0 1,0-2,0 1,0-1,0 1,0-1,0 0,0 0,-1 0,1 0,0 0,-1 0,1-1,-1 1,1-1,-2 1,-12 0,1 1,0-2,0 0,-12-2,7 1,-3 0</inkml:trace>
  <inkml:trace contextRef="#ctx0" brushRef="#br2" timeOffset="51762.17">6985 110,'2'2,"0"-1,-1 1,1-1,0 1,-1-1,1 0,-1 1,1 0,-1-1,0 1,0 0,0 0,0 0,1 1,2 5,12 18,-2 1,-1 0,-2 1,0 0,3 18,34 152,-46-187,18 101,-4 0,-6 1,-3 27,-7 91,-11 19,3-117,-12 376,20-496,1 5,-1-1,-1-1,0 1,-1 0,-1-2,-4 17,6-30,0 0,1-1,-1 1,0 0,0 0,0-1,-1 1,1-1,0 1,0-1,-1 1,1-1,-1 0,0 1,1-1,-2 1,-12 5</inkml:trace>
  <inkml:trace contextRef="#ctx0" brushRef="#br2" timeOffset="53261.18">6985 155,'-4'0,"0"-4,-1-1</inkml:trace>
  <inkml:trace contextRef="#ctx0" brushRef="#br2" timeOffset="54959.66">7620 1014,'-14'1,"0"0,0 1,0 2,0-1,0 0,1 1,0 1,-1 1,2 1,-1-1,1 1,0 2,0-1,1 0,0 2,1 0,0 0,0 1,1 0,-7 11,14-19,1-1,-1 1,0 0,1 0,0 0,-1-1,1 1,0 0,1 0,-1 0,0 1,1-1,-1 0,1 0,0 0,0 0,0 0,1 0,-1 1,1-1,0-1,-1 1,1 0,0 0,1 0,-1-1,0 1,1 1,0-1,3 2,0 0,0 0,0-1,1 1,0-1,-1 0,1-1,0 1,1-2,-1 1,1 0,0 0,31 9,-16-6,0 2,19 9,-35-13,0 0,1 0,-1 0,-1 0,1 0,-1 2,1-1,-1 0,-1 1,1-1,1 4,-2-1,13 18,-1 2,2 7,-15-28,0 0,0 0,0 1,-1-1,0 0,-1 2,0-2,0 1,0 0,-1 0,0 5,0-10,-1-1,1 0,-1-1,0 1,1 0,-1 0,0 0,0-1,0 1,0-1,0 1,-1-1,1 1,0-1,-1 1,1 0,-1-1,1 0,-1 0,0 0,-37 15,22-9,-69 28,50-20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4E232-EFA3-46DA-9FC3-12523DE00F78}">
  <dimension ref="B2:M58"/>
  <sheetViews>
    <sheetView tabSelected="1" workbookViewId="0">
      <selection activeCell="B23" sqref="B23"/>
    </sheetView>
  </sheetViews>
  <sheetFormatPr defaultRowHeight="15" x14ac:dyDescent="0.25"/>
  <cols>
    <col min="1" max="1" width="2.85546875" customWidth="1"/>
    <col min="2" max="2" width="31.7109375" customWidth="1"/>
    <col min="3" max="3" width="13.42578125" bestFit="1" customWidth="1"/>
    <col min="4" max="4" width="7.7109375" customWidth="1"/>
    <col min="5" max="5" width="12.140625" customWidth="1"/>
    <col min="6" max="6" width="16.42578125" customWidth="1"/>
    <col min="7" max="7" width="16.140625" customWidth="1"/>
    <col min="8" max="8" width="14" customWidth="1"/>
    <col min="9" max="9" width="11.7109375" customWidth="1"/>
    <col min="10" max="10" width="13.28515625" customWidth="1"/>
    <col min="11" max="11" width="18.140625" customWidth="1"/>
    <col min="12" max="12" width="11.5703125" hidden="1" customWidth="1"/>
    <col min="13" max="13" width="16" hidden="1" customWidth="1"/>
  </cols>
  <sheetData>
    <row r="2" spans="2:13" x14ac:dyDescent="0.25">
      <c r="B2" t="s">
        <v>0</v>
      </c>
      <c r="C2" s="3">
        <v>100000</v>
      </c>
      <c r="E2" s="6" t="s">
        <v>38</v>
      </c>
    </row>
    <row r="3" spans="2:13" x14ac:dyDescent="0.25">
      <c r="B3" t="s">
        <v>2</v>
      </c>
      <c r="C3" s="3">
        <v>10000</v>
      </c>
      <c r="E3" t="s">
        <v>26</v>
      </c>
    </row>
    <row r="4" spans="2:13" x14ac:dyDescent="0.25">
      <c r="B4" t="s">
        <v>1</v>
      </c>
      <c r="C4" s="6">
        <f>C2-C3</f>
        <v>90000</v>
      </c>
      <c r="E4" t="s">
        <v>27</v>
      </c>
    </row>
    <row r="5" spans="2:13" x14ac:dyDescent="0.25">
      <c r="B5" t="s">
        <v>3</v>
      </c>
      <c r="C5" s="6">
        <f>'Tax Calcs'!E11</f>
        <v>21517</v>
      </c>
      <c r="E5" t="s">
        <v>37</v>
      </c>
    </row>
    <row r="6" spans="2:13" x14ac:dyDescent="0.25">
      <c r="B6" t="s">
        <v>4</v>
      </c>
      <c r="C6" s="6">
        <f>C4-C5</f>
        <v>68483</v>
      </c>
      <c r="E6" t="s">
        <v>39</v>
      </c>
    </row>
    <row r="7" spans="2:13" x14ac:dyDescent="0.25">
      <c r="B7" t="s">
        <v>5</v>
      </c>
      <c r="C7" s="3">
        <v>36000</v>
      </c>
      <c r="E7" t="s">
        <v>45</v>
      </c>
    </row>
    <row r="8" spans="2:13" x14ac:dyDescent="0.25">
      <c r="B8" t="s">
        <v>6</v>
      </c>
      <c r="C8" s="6">
        <f>C6-C7</f>
        <v>32483</v>
      </c>
    </row>
    <row r="9" spans="2:13" x14ac:dyDescent="0.25">
      <c r="B9" t="s">
        <v>7</v>
      </c>
      <c r="C9" s="7">
        <f>C8/C6</f>
        <v>0.47432209453440999</v>
      </c>
    </row>
    <row r="10" spans="2:13" x14ac:dyDescent="0.25">
      <c r="B10" t="s">
        <v>9</v>
      </c>
      <c r="C10" s="8">
        <v>7.0000000000000007E-2</v>
      </c>
    </row>
    <row r="11" spans="2:13" x14ac:dyDescent="0.25">
      <c r="B11" t="s">
        <v>12</v>
      </c>
      <c r="C11" s="1">
        <v>0.04</v>
      </c>
    </row>
    <row r="12" spans="2:13" x14ac:dyDescent="0.25">
      <c r="B12" t="s">
        <v>18</v>
      </c>
      <c r="C12" s="1">
        <v>0.02</v>
      </c>
    </row>
    <row r="13" spans="2:13" x14ac:dyDescent="0.25">
      <c r="B13" t="s">
        <v>13</v>
      </c>
      <c r="C13" s="2">
        <v>15</v>
      </c>
    </row>
    <row r="15" spans="2:13" ht="37.5" customHeight="1" x14ac:dyDescent="0.25">
      <c r="D15" s="13" t="s">
        <v>8</v>
      </c>
      <c r="E15" s="14" t="s">
        <v>10</v>
      </c>
      <c r="F15" s="14" t="s">
        <v>42</v>
      </c>
      <c r="G15" s="14" t="s">
        <v>36</v>
      </c>
      <c r="H15" s="14" t="s">
        <v>11</v>
      </c>
      <c r="I15" s="14" t="s">
        <v>44</v>
      </c>
      <c r="J15" s="14" t="s">
        <v>5</v>
      </c>
      <c r="K15" s="16" t="s">
        <v>43</v>
      </c>
      <c r="L15" s="15" t="s">
        <v>40</v>
      </c>
      <c r="M15" s="15" t="s">
        <v>41</v>
      </c>
    </row>
    <row r="16" spans="2:13" x14ac:dyDescent="0.25">
      <c r="D16" s="17">
        <v>0</v>
      </c>
      <c r="E16" s="3">
        <v>0</v>
      </c>
      <c r="F16" s="3"/>
      <c r="G16" s="3">
        <v>0</v>
      </c>
      <c r="H16" s="3">
        <v>0</v>
      </c>
      <c r="I16" s="4">
        <f>E16+H16</f>
        <v>0</v>
      </c>
      <c r="J16" s="3">
        <v>0</v>
      </c>
      <c r="K16" s="4">
        <f>J16/$C$11</f>
        <v>0</v>
      </c>
      <c r="L16" s="4"/>
    </row>
    <row r="17" spans="4:13" x14ac:dyDescent="0.25">
      <c r="D17" s="17">
        <v>1</v>
      </c>
      <c r="E17" s="3">
        <f>E16*(1+$C$10)+G17</f>
        <v>32483</v>
      </c>
      <c r="F17" s="3"/>
      <c r="G17" s="3">
        <f>$C$8</f>
        <v>32483</v>
      </c>
      <c r="H17" s="3">
        <f>H16*(1+$C$10)+$C$2*0.095*0.85+$C$3*0.85</f>
        <v>16575</v>
      </c>
      <c r="I17" s="4">
        <f t="shared" ref="I17:I58" si="0">E17+H17</f>
        <v>49058</v>
      </c>
      <c r="J17" s="3">
        <f>$C$7</f>
        <v>36000</v>
      </c>
      <c r="K17" s="4">
        <f t="shared" ref="K17:K58" si="1">J17/$C$11</f>
        <v>900000</v>
      </c>
      <c r="L17" s="4">
        <f>$C$6</f>
        <v>68483</v>
      </c>
      <c r="M17" s="18">
        <f>L17-J17-G17</f>
        <v>0</v>
      </c>
    </row>
    <row r="18" spans="4:13" x14ac:dyDescent="0.25">
      <c r="D18" s="17">
        <v>2</v>
      </c>
      <c r="E18" s="3">
        <f>E17*(1+$C$10)+G18</f>
        <v>67889.47</v>
      </c>
      <c r="F18" s="3"/>
      <c r="G18" s="3">
        <f>G17*(1+$C$12)</f>
        <v>33132.660000000003</v>
      </c>
      <c r="H18" s="3">
        <f t="shared" ref="H18:H31" si="2">H17*(1+$C$10)+$C$2*0.095*0.85+$C$3*0.85</f>
        <v>34310.25</v>
      </c>
      <c r="I18" s="4">
        <f t="shared" si="0"/>
        <v>102199.72</v>
      </c>
      <c r="J18" s="3">
        <f t="shared" ref="J18:J58" si="3">J17*(1+$C$12)</f>
        <v>36720</v>
      </c>
      <c r="K18" s="4">
        <f t="shared" si="1"/>
        <v>918000</v>
      </c>
      <c r="L18" s="18">
        <f>L17*1.02</f>
        <v>69852.66</v>
      </c>
      <c r="M18" s="18">
        <f>L18-J18-G18</f>
        <v>0</v>
      </c>
    </row>
    <row r="19" spans="4:13" x14ac:dyDescent="0.25">
      <c r="D19" s="17">
        <v>3</v>
      </c>
      <c r="E19" s="3">
        <f t="shared" ref="E19:E31" si="4">E18*(1+$C$10)+G19</f>
        <v>106437.04610000001</v>
      </c>
      <c r="F19" s="3"/>
      <c r="G19" s="3">
        <f t="shared" ref="G19:G31" si="5">G18*(1+$C$12)</f>
        <v>33795.313200000004</v>
      </c>
      <c r="H19" s="3">
        <f t="shared" si="2"/>
        <v>53286.967499999999</v>
      </c>
      <c r="I19" s="4">
        <f t="shared" si="0"/>
        <v>159724.01360000001</v>
      </c>
      <c r="J19" s="3">
        <f t="shared" si="3"/>
        <v>37454.400000000001</v>
      </c>
      <c r="K19" s="4">
        <f t="shared" si="1"/>
        <v>936360</v>
      </c>
      <c r="L19" s="18">
        <f t="shared" ref="L19:L31" si="6">L18*1.02</f>
        <v>71249.713199999998</v>
      </c>
      <c r="M19" s="18">
        <f t="shared" ref="M19:M33" si="7">L19-J19-G19</f>
        <v>0</v>
      </c>
    </row>
    <row r="20" spans="4:13" x14ac:dyDescent="0.25">
      <c r="D20" s="17">
        <v>4</v>
      </c>
      <c r="E20" s="3">
        <f t="shared" si="4"/>
        <v>148358.85879100001</v>
      </c>
      <c r="F20" s="3"/>
      <c r="G20" s="3">
        <f t="shared" si="5"/>
        <v>34471.219464000002</v>
      </c>
      <c r="H20" s="3">
        <f t="shared" si="2"/>
        <v>73592.055225000004</v>
      </c>
      <c r="I20" s="4">
        <f t="shared" si="0"/>
        <v>221950.914016</v>
      </c>
      <c r="J20" s="3">
        <f t="shared" si="3"/>
        <v>38203.488000000005</v>
      </c>
      <c r="K20" s="4">
        <f t="shared" si="1"/>
        <v>955087.20000000007</v>
      </c>
      <c r="L20" s="18">
        <f t="shared" si="6"/>
        <v>72674.707464000006</v>
      </c>
      <c r="M20" s="18">
        <f t="shared" si="7"/>
        <v>0</v>
      </c>
    </row>
    <row r="21" spans="4:13" x14ac:dyDescent="0.25">
      <c r="D21" s="17">
        <v>5</v>
      </c>
      <c r="E21" s="3">
        <f t="shared" si="4"/>
        <v>193904.62275965002</v>
      </c>
      <c r="F21" s="3"/>
      <c r="G21" s="3">
        <f t="shared" si="5"/>
        <v>35160.643853280002</v>
      </c>
      <c r="H21" s="3">
        <f t="shared" si="2"/>
        <v>95318.499090750003</v>
      </c>
      <c r="I21" s="4">
        <f t="shared" si="0"/>
        <v>289223.1218504</v>
      </c>
      <c r="J21" s="3">
        <f t="shared" si="3"/>
        <v>38967.557760000003</v>
      </c>
      <c r="K21" s="4">
        <f t="shared" si="1"/>
        <v>974188.94400000002</v>
      </c>
      <c r="L21" s="18">
        <f t="shared" si="6"/>
        <v>74128.201613280005</v>
      </c>
      <c r="M21" s="18">
        <f t="shared" si="7"/>
        <v>0</v>
      </c>
    </row>
    <row r="22" spans="4:13" x14ac:dyDescent="0.25">
      <c r="D22" s="17">
        <v>6</v>
      </c>
      <c r="E22" s="3">
        <f t="shared" si="4"/>
        <v>243341.80308317114</v>
      </c>
      <c r="F22" s="3"/>
      <c r="G22" s="3">
        <f t="shared" si="5"/>
        <v>35863.8567303456</v>
      </c>
      <c r="H22" s="3">
        <f t="shared" si="2"/>
        <v>118565.79402710251</v>
      </c>
      <c r="I22" s="4">
        <f t="shared" si="0"/>
        <v>361907.59711027367</v>
      </c>
      <c r="J22" s="3">
        <f t="shared" si="3"/>
        <v>39746.908915200002</v>
      </c>
      <c r="K22" s="4">
        <f t="shared" si="1"/>
        <v>993672.72288000002</v>
      </c>
      <c r="L22" s="18">
        <f t="shared" si="6"/>
        <v>75610.765645545602</v>
      </c>
      <c r="M22" s="18">
        <f t="shared" si="7"/>
        <v>0</v>
      </c>
    </row>
    <row r="23" spans="4:13" x14ac:dyDescent="0.25">
      <c r="D23" s="17">
        <v>7</v>
      </c>
      <c r="E23" s="3">
        <f t="shared" si="4"/>
        <v>296956.86316394561</v>
      </c>
      <c r="F23" s="3"/>
      <c r="G23" s="3">
        <f t="shared" si="5"/>
        <v>36581.133864952513</v>
      </c>
      <c r="H23" s="3">
        <f t="shared" si="2"/>
        <v>143440.39960899969</v>
      </c>
      <c r="I23" s="4">
        <f t="shared" si="0"/>
        <v>440397.26277294534</v>
      </c>
      <c r="J23" s="3">
        <f t="shared" si="3"/>
        <v>40541.847093504002</v>
      </c>
      <c r="K23" s="4">
        <f t="shared" si="1"/>
        <v>1013546.1773376</v>
      </c>
      <c r="L23" s="18">
        <f t="shared" si="6"/>
        <v>77122.980958456508</v>
      </c>
      <c r="M23" s="18">
        <f t="shared" si="7"/>
        <v>0</v>
      </c>
    </row>
    <row r="24" spans="4:13" x14ac:dyDescent="0.25">
      <c r="D24" s="17">
        <v>8</v>
      </c>
      <c r="E24" s="3">
        <f t="shared" si="4"/>
        <v>355056.60012767336</v>
      </c>
      <c r="F24" s="3"/>
      <c r="G24" s="3">
        <f t="shared" si="5"/>
        <v>37312.756542251562</v>
      </c>
      <c r="H24" s="3">
        <f t="shared" si="2"/>
        <v>170056.22758162968</v>
      </c>
      <c r="I24" s="4">
        <f t="shared" si="0"/>
        <v>525112.827709303</v>
      </c>
      <c r="J24" s="3">
        <f t="shared" si="3"/>
        <v>41352.684035374084</v>
      </c>
      <c r="K24" s="4">
        <f t="shared" si="1"/>
        <v>1033817.1008843521</v>
      </c>
      <c r="L24" s="18">
        <f t="shared" si="6"/>
        <v>78665.440577625646</v>
      </c>
      <c r="M24" s="18">
        <f t="shared" si="7"/>
        <v>0</v>
      </c>
    </row>
    <row r="25" spans="4:13" x14ac:dyDescent="0.25">
      <c r="D25" s="17">
        <v>9</v>
      </c>
      <c r="E25" s="3">
        <f t="shared" si="4"/>
        <v>417969.57380970707</v>
      </c>
      <c r="F25" s="3"/>
      <c r="G25" s="3">
        <f t="shared" si="5"/>
        <v>38059.011673096596</v>
      </c>
      <c r="H25" s="3">
        <f t="shared" si="2"/>
        <v>198535.16351234377</v>
      </c>
      <c r="I25" s="4">
        <f t="shared" si="0"/>
        <v>616504.73732205085</v>
      </c>
      <c r="J25" s="3">
        <f t="shared" si="3"/>
        <v>42179.737716081567</v>
      </c>
      <c r="K25" s="4">
        <f t="shared" si="1"/>
        <v>1054493.442902039</v>
      </c>
      <c r="L25" s="18">
        <f t="shared" si="6"/>
        <v>80238.749389178163</v>
      </c>
      <c r="M25" s="18">
        <f t="shared" si="7"/>
        <v>0</v>
      </c>
    </row>
    <row r="26" spans="4:13" x14ac:dyDescent="0.25">
      <c r="D26" s="17">
        <v>10</v>
      </c>
      <c r="E26" s="3">
        <f t="shared" si="4"/>
        <v>486047.63588294509</v>
      </c>
      <c r="F26" s="3"/>
      <c r="G26" s="3">
        <f t="shared" si="5"/>
        <v>38820.191906558532</v>
      </c>
      <c r="H26" s="3">
        <f t="shared" si="2"/>
        <v>229007.62495820786</v>
      </c>
      <c r="I26" s="4">
        <f t="shared" si="0"/>
        <v>715055.26084115298</v>
      </c>
      <c r="J26" s="3">
        <f t="shared" si="3"/>
        <v>43023.332470403198</v>
      </c>
      <c r="K26" s="4">
        <f t="shared" si="1"/>
        <v>1075583.31176008</v>
      </c>
      <c r="L26" s="18">
        <f t="shared" si="6"/>
        <v>81843.524376961723</v>
      </c>
      <c r="M26" s="18">
        <f t="shared" si="7"/>
        <v>0</v>
      </c>
    </row>
    <row r="27" spans="4:13" x14ac:dyDescent="0.25">
      <c r="D27" s="17">
        <v>11</v>
      </c>
      <c r="E27" s="3">
        <f t="shared" si="4"/>
        <v>559667.56613944098</v>
      </c>
      <c r="F27" s="3"/>
      <c r="G27" s="3">
        <f t="shared" si="5"/>
        <v>39596.595744689701</v>
      </c>
      <c r="H27" s="3">
        <f t="shared" si="2"/>
        <v>261613.15870528243</v>
      </c>
      <c r="I27" s="4">
        <f t="shared" si="0"/>
        <v>821280.72484472347</v>
      </c>
      <c r="J27" s="3">
        <f t="shared" si="3"/>
        <v>43883.799119811265</v>
      </c>
      <c r="K27" s="4">
        <f t="shared" si="1"/>
        <v>1097094.9779952816</v>
      </c>
      <c r="L27" s="18">
        <f t="shared" si="6"/>
        <v>83480.394864500966</v>
      </c>
      <c r="M27" s="18">
        <f t="shared" si="7"/>
        <v>0</v>
      </c>
    </row>
    <row r="28" spans="4:13" x14ac:dyDescent="0.25">
      <c r="D28" s="17">
        <v>12</v>
      </c>
      <c r="E28" s="3">
        <f t="shared" si="4"/>
        <v>639232.82342878543</v>
      </c>
      <c r="F28" s="3"/>
      <c r="G28" s="3">
        <f t="shared" si="5"/>
        <v>40388.527659583495</v>
      </c>
      <c r="H28" s="3">
        <f t="shared" si="2"/>
        <v>296501.07981465221</v>
      </c>
      <c r="I28" s="4">
        <f t="shared" si="0"/>
        <v>935733.90324343764</v>
      </c>
      <c r="J28" s="3">
        <f t="shared" si="3"/>
        <v>44761.475102207492</v>
      </c>
      <c r="K28" s="4">
        <f t="shared" si="1"/>
        <v>1119036.8775551873</v>
      </c>
      <c r="L28" s="18">
        <f t="shared" si="6"/>
        <v>85150.00276179098</v>
      </c>
      <c r="M28" s="18">
        <f t="shared" si="7"/>
        <v>0</v>
      </c>
    </row>
    <row r="29" spans="4:13" x14ac:dyDescent="0.25">
      <c r="D29" s="17">
        <v>13</v>
      </c>
      <c r="E29" s="3">
        <f t="shared" si="4"/>
        <v>725175.4192815756</v>
      </c>
      <c r="F29" s="3"/>
      <c r="G29" s="3">
        <f t="shared" si="5"/>
        <v>41196.298212775167</v>
      </c>
      <c r="H29" s="3">
        <f t="shared" si="2"/>
        <v>333831.15540167788</v>
      </c>
      <c r="I29" s="4">
        <f t="shared" si="0"/>
        <v>1059006.5746832534</v>
      </c>
      <c r="J29" s="3">
        <f t="shared" si="3"/>
        <v>45656.704604251645</v>
      </c>
      <c r="K29" s="4">
        <f t="shared" si="1"/>
        <v>1141417.6151062911</v>
      </c>
      <c r="L29" s="18">
        <f t="shared" si="6"/>
        <v>86853.002817026805</v>
      </c>
      <c r="M29" s="18">
        <f t="shared" si="7"/>
        <v>0</v>
      </c>
    </row>
    <row r="30" spans="4:13" x14ac:dyDescent="0.25">
      <c r="D30" s="17">
        <v>14</v>
      </c>
      <c r="E30" s="3">
        <f t="shared" si="4"/>
        <v>817957.92280831654</v>
      </c>
      <c r="F30" s="3"/>
      <c r="G30" s="3">
        <f t="shared" si="5"/>
        <v>42020.224177030672</v>
      </c>
      <c r="H30" s="3">
        <f t="shared" si="2"/>
        <v>373774.33627979533</v>
      </c>
      <c r="I30" s="4">
        <f t="shared" si="0"/>
        <v>1191732.2590881118</v>
      </c>
      <c r="J30" s="3">
        <f t="shared" si="3"/>
        <v>46569.838696336679</v>
      </c>
      <c r="K30" s="4">
        <f t="shared" si="1"/>
        <v>1164245.967408417</v>
      </c>
      <c r="L30" s="18">
        <f t="shared" si="6"/>
        <v>88590.062873367337</v>
      </c>
      <c r="M30" s="18">
        <f t="shared" si="7"/>
        <v>0</v>
      </c>
    </row>
    <row r="31" spans="4:13" x14ac:dyDescent="0.25">
      <c r="D31" s="17">
        <v>15</v>
      </c>
      <c r="E31" s="9">
        <f t="shared" si="4"/>
        <v>918075.60606547003</v>
      </c>
      <c r="F31" s="10"/>
      <c r="G31" s="9">
        <f t="shared" si="5"/>
        <v>42860.628660571288</v>
      </c>
      <c r="H31" s="9">
        <f t="shared" si="2"/>
        <v>416513.53981938103</v>
      </c>
      <c r="I31" s="11">
        <f t="shared" si="0"/>
        <v>1334589.145884851</v>
      </c>
      <c r="J31" s="9">
        <f t="shared" si="3"/>
        <v>47501.235470263411</v>
      </c>
      <c r="K31" s="12">
        <f t="shared" si="1"/>
        <v>1187530.8867565852</v>
      </c>
      <c r="L31" s="18">
        <f t="shared" si="6"/>
        <v>90361.864130834685</v>
      </c>
      <c r="M31" s="18">
        <f t="shared" si="7"/>
        <v>0</v>
      </c>
    </row>
    <row r="32" spans="4:13" x14ac:dyDescent="0.25">
      <c r="D32" s="17">
        <v>16</v>
      </c>
      <c r="E32" s="3">
        <f>E31*(1+$C$10-0.02)-J32</f>
        <v>915528.12618907494</v>
      </c>
      <c r="F32" s="5">
        <f>J32/E32</f>
        <v>5.2921651223703119E-2</v>
      </c>
      <c r="G32" s="3"/>
      <c r="H32" s="3">
        <f>H31*(1+$C$10)</f>
        <v>445669.4876067377</v>
      </c>
      <c r="I32" s="4">
        <f t="shared" si="0"/>
        <v>1361197.6137958127</v>
      </c>
      <c r="J32" s="3">
        <f t="shared" si="3"/>
        <v>48451.260179668679</v>
      </c>
      <c r="K32" s="4">
        <f t="shared" si="1"/>
        <v>1211281.5044917169</v>
      </c>
      <c r="L32" s="4">
        <f t="shared" ref="L32" si="8">$C$6</f>
        <v>68483</v>
      </c>
      <c r="M32" s="18">
        <f t="shared" si="7"/>
        <v>20031.739820331321</v>
      </c>
    </row>
    <row r="33" spans="4:13" x14ac:dyDescent="0.25">
      <c r="D33" s="17">
        <v>17</v>
      </c>
      <c r="E33" s="3">
        <f t="shared" ref="E33:E58" si="9">E32*(1+$C$10-0.02)-J33</f>
        <v>911884.24711526663</v>
      </c>
      <c r="F33" s="3"/>
      <c r="G33" s="3"/>
      <c r="H33" s="3">
        <f t="shared" ref="H33:H58" si="10">H32*(1+$C$10)</f>
        <v>476866.35173920938</v>
      </c>
      <c r="I33" s="4">
        <f t="shared" si="0"/>
        <v>1388750.5988544761</v>
      </c>
      <c r="J33" s="3">
        <f t="shared" si="3"/>
        <v>49420.285383262053</v>
      </c>
      <c r="K33" s="4">
        <f t="shared" si="1"/>
        <v>1235507.1345815512</v>
      </c>
      <c r="L33" s="18">
        <f t="shared" ref="L33:L46" si="11">L32*1.02</f>
        <v>69852.66</v>
      </c>
      <c r="M33" s="18">
        <f t="shared" si="7"/>
        <v>20432.37461673795</v>
      </c>
    </row>
    <row r="34" spans="4:13" x14ac:dyDescent="0.25">
      <c r="D34" s="17">
        <v>18</v>
      </c>
      <c r="E34" s="3">
        <f t="shared" si="9"/>
        <v>907069.7683801027</v>
      </c>
      <c r="F34" s="3"/>
      <c r="G34" s="3"/>
      <c r="H34" s="3">
        <f t="shared" si="10"/>
        <v>510246.99636095407</v>
      </c>
      <c r="I34" s="4">
        <f t="shared" si="0"/>
        <v>1417316.7647410568</v>
      </c>
      <c r="J34" s="3">
        <f t="shared" si="3"/>
        <v>50408.691090927292</v>
      </c>
      <c r="K34" s="4">
        <f t="shared" si="1"/>
        <v>1260217.2772731823</v>
      </c>
      <c r="L34" s="18">
        <f t="shared" si="11"/>
        <v>71249.713199999998</v>
      </c>
      <c r="M34" s="18">
        <f t="shared" ref="M34:M58" si="12">L34-J34-G34</f>
        <v>20841.022109072706</v>
      </c>
    </row>
    <row r="35" spans="4:13" x14ac:dyDescent="0.25">
      <c r="D35" s="17">
        <v>19</v>
      </c>
      <c r="E35" s="3">
        <f t="shared" si="9"/>
        <v>901006.39188636199</v>
      </c>
      <c r="F35" s="3"/>
      <c r="G35" s="3"/>
      <c r="H35" s="3">
        <f t="shared" si="10"/>
        <v>545964.28610622091</v>
      </c>
      <c r="I35" s="4">
        <f t="shared" si="0"/>
        <v>1446970.6779925828</v>
      </c>
      <c r="J35" s="3">
        <f t="shared" si="3"/>
        <v>51416.864912745841</v>
      </c>
      <c r="K35" s="4">
        <f t="shared" si="1"/>
        <v>1285421.622818646</v>
      </c>
      <c r="L35" s="18">
        <f t="shared" si="11"/>
        <v>72674.707464000006</v>
      </c>
      <c r="M35" s="18">
        <f t="shared" si="12"/>
        <v>21257.842551254165</v>
      </c>
    </row>
    <row r="36" spans="4:13" x14ac:dyDescent="0.25">
      <c r="D36" s="17">
        <v>20</v>
      </c>
      <c r="E36" s="3">
        <f t="shared" si="9"/>
        <v>893611.50926967943</v>
      </c>
      <c r="F36" s="3"/>
      <c r="G36" s="3"/>
      <c r="H36" s="3">
        <f t="shared" si="10"/>
        <v>584181.78613365639</v>
      </c>
      <c r="I36" s="4">
        <f t="shared" si="0"/>
        <v>1477793.2954033357</v>
      </c>
      <c r="J36" s="3">
        <f t="shared" si="3"/>
        <v>52445.20221100076</v>
      </c>
      <c r="K36" s="4">
        <f t="shared" si="1"/>
        <v>1311130.055275019</v>
      </c>
      <c r="L36" s="18">
        <f t="shared" si="11"/>
        <v>74128.201613280005</v>
      </c>
      <c r="M36" s="18">
        <f t="shared" si="12"/>
        <v>21682.999402279245</v>
      </c>
    </row>
    <row r="37" spans="4:13" x14ac:dyDescent="0.25">
      <c r="D37" s="17">
        <v>21</v>
      </c>
      <c r="E37" s="3">
        <f t="shared" si="9"/>
        <v>884797.97847794276</v>
      </c>
      <c r="F37" s="3"/>
      <c r="G37" s="3"/>
      <c r="H37" s="3">
        <f t="shared" si="10"/>
        <v>625074.51116301236</v>
      </c>
      <c r="I37" s="4">
        <f t="shared" si="0"/>
        <v>1509872.4896409551</v>
      </c>
      <c r="J37" s="3">
        <f t="shared" si="3"/>
        <v>53494.106255220773</v>
      </c>
      <c r="K37" s="4">
        <f t="shared" si="1"/>
        <v>1337352.6563805193</v>
      </c>
      <c r="L37" s="18">
        <f t="shared" si="11"/>
        <v>75610.765645545602</v>
      </c>
      <c r="M37" s="18">
        <f t="shared" si="12"/>
        <v>22116.659390324829</v>
      </c>
    </row>
    <row r="38" spans="4:13" x14ac:dyDescent="0.25">
      <c r="D38" s="17">
        <v>22</v>
      </c>
      <c r="E38" s="3">
        <f t="shared" si="9"/>
        <v>874473.8890215148</v>
      </c>
      <c r="F38" s="3"/>
      <c r="G38" s="3"/>
      <c r="H38" s="3">
        <f t="shared" si="10"/>
        <v>668829.72694442328</v>
      </c>
      <c r="I38" s="4">
        <f t="shared" si="0"/>
        <v>1543303.6159659382</v>
      </c>
      <c r="J38" s="3">
        <f t="shared" si="3"/>
        <v>54563.988380325187</v>
      </c>
      <c r="K38" s="4">
        <f t="shared" si="1"/>
        <v>1364099.7095081296</v>
      </c>
      <c r="L38" s="18">
        <f t="shared" si="11"/>
        <v>77122.980958456508</v>
      </c>
      <c r="M38" s="18">
        <f t="shared" si="12"/>
        <v>22558.992578131321</v>
      </c>
    </row>
    <row r="39" spans="4:13" x14ac:dyDescent="0.25">
      <c r="D39" s="17">
        <v>23</v>
      </c>
      <c r="E39" s="3">
        <f t="shared" si="9"/>
        <v>862542.31532465888</v>
      </c>
      <c r="F39" s="3"/>
      <c r="G39" s="3"/>
      <c r="H39" s="3">
        <f t="shared" si="10"/>
        <v>715647.8078305329</v>
      </c>
      <c r="I39" s="4">
        <f t="shared" si="0"/>
        <v>1578190.1231551918</v>
      </c>
      <c r="J39" s="3">
        <f t="shared" si="3"/>
        <v>55655.268147931689</v>
      </c>
      <c r="K39" s="4">
        <f t="shared" si="1"/>
        <v>1391381.7036982921</v>
      </c>
      <c r="L39" s="18">
        <f t="shared" si="11"/>
        <v>78665.440577625646</v>
      </c>
      <c r="M39" s="18">
        <f t="shared" si="12"/>
        <v>23010.172429693957</v>
      </c>
    </row>
    <row r="40" spans="4:13" x14ac:dyDescent="0.25">
      <c r="D40" s="17">
        <v>24</v>
      </c>
      <c r="E40" s="3">
        <f t="shared" si="9"/>
        <v>848901.05758000154</v>
      </c>
      <c r="F40" s="3"/>
      <c r="G40" s="3"/>
      <c r="H40" s="3">
        <f t="shared" si="10"/>
        <v>765743.15437867027</v>
      </c>
      <c r="I40" s="4">
        <f t="shared" si="0"/>
        <v>1614644.2119586719</v>
      </c>
      <c r="J40" s="3">
        <f t="shared" si="3"/>
        <v>56768.37351089032</v>
      </c>
      <c r="K40" s="4">
        <f t="shared" si="1"/>
        <v>1419209.3377722579</v>
      </c>
      <c r="L40" s="18">
        <f t="shared" si="11"/>
        <v>80238.749389178163</v>
      </c>
      <c r="M40" s="18">
        <f t="shared" si="12"/>
        <v>23470.375878287843</v>
      </c>
    </row>
    <row r="41" spans="4:13" x14ac:dyDescent="0.25">
      <c r="D41" s="17">
        <v>25</v>
      </c>
      <c r="E41" s="3">
        <f t="shared" si="9"/>
        <v>833442.36947789346</v>
      </c>
      <c r="F41" s="3"/>
      <c r="G41" s="3"/>
      <c r="H41" s="3">
        <f t="shared" si="10"/>
        <v>819345.17518517724</v>
      </c>
      <c r="I41" s="4">
        <f t="shared" si="0"/>
        <v>1652787.5446630707</v>
      </c>
      <c r="J41" s="3">
        <f t="shared" si="3"/>
        <v>57903.740981108131</v>
      </c>
      <c r="K41" s="4">
        <f t="shared" si="1"/>
        <v>1447593.5245277032</v>
      </c>
      <c r="L41" s="18">
        <f t="shared" si="11"/>
        <v>81843.524376961723</v>
      </c>
      <c r="M41" s="18">
        <f t="shared" si="12"/>
        <v>23939.783395853592</v>
      </c>
    </row>
    <row r="42" spans="4:13" x14ac:dyDescent="0.25">
      <c r="D42" s="17">
        <v>26</v>
      </c>
      <c r="E42" s="3">
        <f t="shared" si="9"/>
        <v>816052.67215105786</v>
      </c>
      <c r="F42" s="3"/>
      <c r="G42" s="3"/>
      <c r="H42" s="3">
        <f t="shared" si="10"/>
        <v>876699.33744813967</v>
      </c>
      <c r="I42" s="4">
        <f t="shared" si="0"/>
        <v>1692752.0095991977</v>
      </c>
      <c r="J42" s="3">
        <f t="shared" si="3"/>
        <v>59061.815800730292</v>
      </c>
      <c r="K42" s="4">
        <f t="shared" si="1"/>
        <v>1476545.3950182572</v>
      </c>
      <c r="L42" s="18">
        <f t="shared" si="11"/>
        <v>83480.394864500966</v>
      </c>
      <c r="M42" s="18">
        <f t="shared" si="12"/>
        <v>24418.579063770674</v>
      </c>
    </row>
    <row r="43" spans="4:13" x14ac:dyDescent="0.25">
      <c r="D43" s="17">
        <v>27</v>
      </c>
      <c r="E43" s="3">
        <f t="shared" si="9"/>
        <v>796612.25364186591</v>
      </c>
      <c r="F43" s="3"/>
      <c r="G43" s="3"/>
      <c r="H43" s="3">
        <f t="shared" si="10"/>
        <v>938068.29106950946</v>
      </c>
      <c r="I43" s="4">
        <f t="shared" si="0"/>
        <v>1734680.5447113754</v>
      </c>
      <c r="J43" s="3">
        <f t="shared" si="3"/>
        <v>60243.052116744897</v>
      </c>
      <c r="K43" s="4">
        <f t="shared" si="1"/>
        <v>1506076.3029186225</v>
      </c>
      <c r="L43" s="18">
        <f t="shared" si="11"/>
        <v>85150.00276179098</v>
      </c>
      <c r="M43" s="18">
        <f t="shared" si="12"/>
        <v>24906.950645046083</v>
      </c>
    </row>
    <row r="44" spans="4:13" x14ac:dyDescent="0.25">
      <c r="D44" s="17">
        <v>28</v>
      </c>
      <c r="E44" s="3">
        <f t="shared" si="9"/>
        <v>774994.95316487935</v>
      </c>
      <c r="F44" s="3"/>
      <c r="G44" s="3"/>
      <c r="H44" s="3">
        <f t="shared" si="10"/>
        <v>1003733.0714443752</v>
      </c>
      <c r="I44" s="4">
        <f t="shared" si="0"/>
        <v>1778728.0246092547</v>
      </c>
      <c r="J44" s="3">
        <f t="shared" si="3"/>
        <v>61447.913159079799</v>
      </c>
      <c r="K44" s="4">
        <f t="shared" si="1"/>
        <v>1536197.8289769948</v>
      </c>
      <c r="L44" s="18">
        <f t="shared" si="11"/>
        <v>86853.002817026805</v>
      </c>
      <c r="M44" s="18">
        <f t="shared" si="12"/>
        <v>25405.089657947006</v>
      </c>
    </row>
    <row r="45" spans="4:13" x14ac:dyDescent="0.25">
      <c r="D45" s="17">
        <v>29</v>
      </c>
      <c r="E45" s="3">
        <f t="shared" si="9"/>
        <v>751067.82940086199</v>
      </c>
      <c r="F45" s="3"/>
      <c r="G45" s="3"/>
      <c r="H45" s="3">
        <f t="shared" si="10"/>
        <v>1073994.3864454816</v>
      </c>
      <c r="I45" s="4">
        <f t="shared" si="0"/>
        <v>1825062.2158463434</v>
      </c>
      <c r="J45" s="3">
        <f t="shared" si="3"/>
        <v>62676.871422261393</v>
      </c>
      <c r="K45" s="4">
        <f t="shared" si="1"/>
        <v>1566921.7855565348</v>
      </c>
      <c r="L45" s="18">
        <f t="shared" si="11"/>
        <v>88590.062873367337</v>
      </c>
      <c r="M45" s="18">
        <f t="shared" si="12"/>
        <v>25913.191451105944</v>
      </c>
    </row>
    <row r="46" spans="4:13" x14ac:dyDescent="0.25">
      <c r="D46" s="17">
        <v>30</v>
      </c>
      <c r="E46" s="3">
        <f t="shared" si="9"/>
        <v>724690.81202019844</v>
      </c>
      <c r="F46" s="3"/>
      <c r="G46" s="3"/>
      <c r="H46" s="3">
        <f t="shared" si="10"/>
        <v>1149173.9934966653</v>
      </c>
      <c r="I46" s="4">
        <f t="shared" si="0"/>
        <v>1873864.8055168637</v>
      </c>
      <c r="J46" s="3">
        <f t="shared" si="3"/>
        <v>63930.408850706619</v>
      </c>
      <c r="K46" s="4">
        <f t="shared" si="1"/>
        <v>1598260.2212676655</v>
      </c>
      <c r="L46" s="18">
        <f t="shared" si="11"/>
        <v>90361.864130834685</v>
      </c>
      <c r="M46" s="18">
        <f t="shared" si="12"/>
        <v>26431.455280128066</v>
      </c>
    </row>
    <row r="47" spans="4:13" x14ac:dyDescent="0.25">
      <c r="D47" s="17">
        <v>31</v>
      </c>
      <c r="E47" s="3">
        <f t="shared" si="9"/>
        <v>695716.3355934876</v>
      </c>
      <c r="F47" s="3"/>
      <c r="G47" s="3"/>
      <c r="H47" s="3">
        <f t="shared" si="10"/>
        <v>1229616.1730414319</v>
      </c>
      <c r="I47" s="4">
        <f t="shared" si="0"/>
        <v>1925332.5086349195</v>
      </c>
      <c r="J47" s="3">
        <f t="shared" si="3"/>
        <v>65209.017027720751</v>
      </c>
      <c r="K47" s="4">
        <f t="shared" si="1"/>
        <v>1630225.4256930188</v>
      </c>
      <c r="L47" s="4">
        <f t="shared" ref="L47" si="13">$C$6</f>
        <v>68483</v>
      </c>
      <c r="M47" s="18">
        <f t="shared" si="12"/>
        <v>3273.9829722792492</v>
      </c>
    </row>
    <row r="48" spans="4:13" x14ac:dyDescent="0.25">
      <c r="D48" s="17">
        <v>32</v>
      </c>
      <c r="E48" s="3">
        <f t="shared" si="9"/>
        <v>663988.95500488684</v>
      </c>
      <c r="F48" s="3"/>
      <c r="G48" s="3"/>
      <c r="H48" s="3">
        <f t="shared" si="10"/>
        <v>1315689.3051543322</v>
      </c>
      <c r="I48" s="4">
        <f t="shared" si="0"/>
        <v>1979678.2601592191</v>
      </c>
      <c r="J48" s="3">
        <f t="shared" si="3"/>
        <v>66513.19736827517</v>
      </c>
      <c r="K48" s="4">
        <f t="shared" si="1"/>
        <v>1662829.9342068792</v>
      </c>
      <c r="L48" s="18">
        <f t="shared" ref="L48:L58" si="14">L47*1.02</f>
        <v>69852.66</v>
      </c>
      <c r="M48" s="18">
        <f t="shared" si="12"/>
        <v>3339.462631724833</v>
      </c>
    </row>
    <row r="49" spans="4:13" x14ac:dyDescent="0.25">
      <c r="D49" s="17">
        <v>33</v>
      </c>
      <c r="E49" s="3">
        <f t="shared" si="9"/>
        <v>629344.94143949053</v>
      </c>
      <c r="F49" s="3"/>
      <c r="G49" s="3"/>
      <c r="H49" s="3">
        <f t="shared" si="10"/>
        <v>1407787.5565151356</v>
      </c>
      <c r="I49" s="4">
        <f t="shared" si="0"/>
        <v>2037132.4979546261</v>
      </c>
      <c r="J49" s="3">
        <f t="shared" si="3"/>
        <v>67843.46131564067</v>
      </c>
      <c r="K49" s="4">
        <f t="shared" si="1"/>
        <v>1696086.5328910167</v>
      </c>
      <c r="L49" s="18">
        <f t="shared" si="14"/>
        <v>71249.713199999998</v>
      </c>
      <c r="M49" s="18">
        <f t="shared" si="12"/>
        <v>3406.251884359328</v>
      </c>
    </row>
    <row r="50" spans="4:13" x14ac:dyDescent="0.25">
      <c r="D50" s="17">
        <v>34</v>
      </c>
      <c r="E50" s="3">
        <f t="shared" si="9"/>
        <v>591611.85796951165</v>
      </c>
      <c r="F50" s="3"/>
      <c r="G50" s="3"/>
      <c r="H50" s="3">
        <f t="shared" si="10"/>
        <v>1506332.6854711953</v>
      </c>
      <c r="I50" s="4">
        <f t="shared" si="0"/>
        <v>2097944.543440707</v>
      </c>
      <c r="J50" s="3">
        <f t="shared" si="3"/>
        <v>69200.330541953488</v>
      </c>
      <c r="K50" s="4">
        <f t="shared" si="1"/>
        <v>1730008.2635488373</v>
      </c>
      <c r="L50" s="18">
        <f t="shared" si="14"/>
        <v>72674.707464000006</v>
      </c>
      <c r="M50" s="18">
        <f t="shared" si="12"/>
        <v>3474.3769220465183</v>
      </c>
    </row>
    <row r="51" spans="4:13" x14ac:dyDescent="0.25">
      <c r="D51" s="17">
        <v>35</v>
      </c>
      <c r="E51" s="3">
        <f t="shared" si="9"/>
        <v>550608.11371519463</v>
      </c>
      <c r="F51" s="3"/>
      <c r="G51" s="3"/>
      <c r="H51" s="3">
        <f t="shared" si="10"/>
        <v>1611775.973454179</v>
      </c>
      <c r="I51" s="4">
        <f t="shared" si="0"/>
        <v>2162384.0871693734</v>
      </c>
      <c r="J51" s="3">
        <f t="shared" si="3"/>
        <v>70584.337152792563</v>
      </c>
      <c r="K51" s="4">
        <f t="shared" si="1"/>
        <v>1764608.428819814</v>
      </c>
      <c r="L51" s="18">
        <f t="shared" si="14"/>
        <v>74128.201613280005</v>
      </c>
      <c r="M51" s="18">
        <f t="shared" si="12"/>
        <v>3543.8644604874426</v>
      </c>
    </row>
    <row r="52" spans="4:13" x14ac:dyDescent="0.25">
      <c r="D52" s="17">
        <v>36</v>
      </c>
      <c r="E52" s="3">
        <f t="shared" si="9"/>
        <v>506142.49550510594</v>
      </c>
      <c r="F52" s="3"/>
      <c r="G52" s="3"/>
      <c r="H52" s="3">
        <f t="shared" si="10"/>
        <v>1724600.2915959717</v>
      </c>
      <c r="I52" s="4">
        <f t="shared" si="0"/>
        <v>2230742.7871010778</v>
      </c>
      <c r="J52" s="3">
        <f t="shared" si="3"/>
        <v>71996.023895848411</v>
      </c>
      <c r="K52" s="4">
        <f t="shared" si="1"/>
        <v>1799900.5973962103</v>
      </c>
      <c r="L52" s="18">
        <f t="shared" si="14"/>
        <v>75610.765645545602</v>
      </c>
      <c r="M52" s="18">
        <f t="shared" si="12"/>
        <v>3614.7417496971902</v>
      </c>
    </row>
    <row r="53" spans="4:13" x14ac:dyDescent="0.25">
      <c r="D53" s="17">
        <v>37</v>
      </c>
      <c r="E53" s="3">
        <f t="shared" si="9"/>
        <v>458013.67590659589</v>
      </c>
      <c r="F53" s="9"/>
      <c r="G53" s="9"/>
      <c r="H53" s="9">
        <f t="shared" si="10"/>
        <v>1845322.3120076898</v>
      </c>
      <c r="I53" s="11">
        <f t="shared" si="0"/>
        <v>2303335.9879142856</v>
      </c>
      <c r="J53" s="9">
        <f t="shared" si="3"/>
        <v>73435.944373765378</v>
      </c>
      <c r="K53" s="12">
        <f t="shared" si="1"/>
        <v>1835898.6093441343</v>
      </c>
      <c r="L53" s="18">
        <f t="shared" si="14"/>
        <v>77122.980958456508</v>
      </c>
      <c r="M53" s="18">
        <f t="shared" si="12"/>
        <v>3687.03658469113</v>
      </c>
    </row>
    <row r="54" spans="4:13" x14ac:dyDescent="0.25">
      <c r="D54" s="17">
        <v>38</v>
      </c>
      <c r="E54" s="3">
        <f t="shared" si="9"/>
        <v>406009.69644068502</v>
      </c>
      <c r="F54" s="3"/>
      <c r="G54" s="3"/>
      <c r="H54" s="3">
        <f t="shared" si="10"/>
        <v>1974494.8738482282</v>
      </c>
      <c r="I54" s="4">
        <f t="shared" si="0"/>
        <v>2380504.5702889133</v>
      </c>
      <c r="J54" s="3">
        <f t="shared" si="3"/>
        <v>74904.663261240683</v>
      </c>
      <c r="K54" s="4">
        <f t="shared" si="1"/>
        <v>1872616.5815310171</v>
      </c>
      <c r="L54" s="18">
        <f t="shared" si="14"/>
        <v>78665.440577625646</v>
      </c>
      <c r="M54" s="18">
        <f t="shared" si="12"/>
        <v>3760.7773163849633</v>
      </c>
    </row>
    <row r="55" spans="4:13" x14ac:dyDescent="0.25">
      <c r="D55" s="17">
        <v>39</v>
      </c>
      <c r="E55" s="3">
        <f t="shared" si="9"/>
        <v>349907.4247362538</v>
      </c>
      <c r="F55" s="3"/>
      <c r="G55" s="3"/>
      <c r="H55" s="3">
        <f t="shared" si="10"/>
        <v>2112709.5150176045</v>
      </c>
      <c r="I55" s="4">
        <f t="shared" si="0"/>
        <v>2462616.9397538584</v>
      </c>
      <c r="J55" s="3">
        <f t="shared" si="3"/>
        <v>76402.756526465499</v>
      </c>
      <c r="K55" s="4">
        <f t="shared" si="1"/>
        <v>1910068.9131616375</v>
      </c>
      <c r="L55" s="18">
        <f t="shared" si="14"/>
        <v>80238.749389178163</v>
      </c>
      <c r="M55" s="18">
        <f t="shared" si="12"/>
        <v>3835.9928627126646</v>
      </c>
    </row>
    <row r="56" spans="4:13" x14ac:dyDescent="0.25">
      <c r="D56" s="17">
        <v>40</v>
      </c>
      <c r="E56" s="3">
        <f t="shared" si="9"/>
        <v>289471.98431607173</v>
      </c>
      <c r="F56" s="3"/>
      <c r="G56" s="3"/>
      <c r="H56" s="3">
        <f t="shared" si="10"/>
        <v>2260599.1810688367</v>
      </c>
      <c r="I56" s="4">
        <f t="shared" si="0"/>
        <v>2550071.1653849082</v>
      </c>
      <c r="J56" s="3">
        <f t="shared" si="3"/>
        <v>77930.811656994803</v>
      </c>
      <c r="K56" s="4">
        <f t="shared" si="1"/>
        <v>1948270.29142487</v>
      </c>
      <c r="L56" s="18">
        <f t="shared" si="14"/>
        <v>81843.524376961723</v>
      </c>
      <c r="M56" s="18">
        <f t="shared" si="12"/>
        <v>3912.7127199669194</v>
      </c>
    </row>
    <row r="57" spans="4:13" x14ac:dyDescent="0.25">
      <c r="D57" s="17">
        <v>41</v>
      </c>
      <c r="E57" s="3">
        <f t="shared" si="9"/>
        <v>224456.15564174065</v>
      </c>
      <c r="F57" s="3"/>
      <c r="G57" s="3"/>
      <c r="H57" s="3">
        <f t="shared" si="10"/>
        <v>2418841.1237436556</v>
      </c>
      <c r="I57" s="4">
        <f t="shared" si="0"/>
        <v>2643297.2793853963</v>
      </c>
      <c r="J57" s="3">
        <f t="shared" si="3"/>
        <v>79489.427890134699</v>
      </c>
      <c r="K57" s="4">
        <f t="shared" si="1"/>
        <v>1987235.6972533674</v>
      </c>
      <c r="L57" s="18">
        <f t="shared" si="14"/>
        <v>83480.394864500966</v>
      </c>
      <c r="M57" s="18">
        <f t="shared" si="12"/>
        <v>3990.9669743662671</v>
      </c>
    </row>
    <row r="58" spans="4:13" x14ac:dyDescent="0.25">
      <c r="D58" s="17">
        <v>42</v>
      </c>
      <c r="E58" s="3">
        <f t="shared" si="9"/>
        <v>154599.7469758903</v>
      </c>
      <c r="F58" s="9"/>
      <c r="G58" s="9"/>
      <c r="H58" s="9">
        <f t="shared" si="10"/>
        <v>2588160.0024057114</v>
      </c>
      <c r="I58" s="11">
        <f t="shared" si="0"/>
        <v>2742759.7493816018</v>
      </c>
      <c r="J58" s="9">
        <f t="shared" si="3"/>
        <v>81079.21644793739</v>
      </c>
      <c r="K58" s="12">
        <f t="shared" si="1"/>
        <v>2026980.4111984347</v>
      </c>
      <c r="L58" s="18">
        <f t="shared" si="14"/>
        <v>85150.00276179098</v>
      </c>
      <c r="M58" s="18">
        <f t="shared" si="12"/>
        <v>4070.7863138535904</v>
      </c>
    </row>
  </sheetData>
  <conditionalFormatting sqref="E16:E58">
    <cfRule type="cellIs" dxfId="20" priority="21" operator="lessThan">
      <formula>0</formula>
    </cfRule>
  </conditionalFormatting>
  <conditionalFormatting sqref="I58">
    <cfRule type="cellIs" dxfId="19" priority="12" operator="greaterThan">
      <formula>$K$58</formula>
    </cfRule>
    <cfRule type="cellIs" dxfId="18" priority="11" operator="lessThan">
      <formula>$K$58</formula>
    </cfRule>
  </conditionalFormatting>
  <conditionalFormatting sqref="I57">
    <cfRule type="cellIs" dxfId="17" priority="8" operator="greaterThan">
      <formula>$K$57</formula>
    </cfRule>
  </conditionalFormatting>
  <conditionalFormatting sqref="I56">
    <cfRule type="cellIs" dxfId="16" priority="7" operator="greaterThan">
      <formula>$K$56</formula>
    </cfRule>
  </conditionalFormatting>
  <conditionalFormatting sqref="I55">
    <cfRule type="cellIs" dxfId="15" priority="6" operator="greaterThan">
      <formula>$K$55</formula>
    </cfRule>
  </conditionalFormatting>
  <conditionalFormatting sqref="I54">
    <cfRule type="cellIs" dxfId="14" priority="5" operator="greaterThan">
      <formula>$K$54</formula>
    </cfRule>
  </conditionalFormatting>
  <conditionalFormatting sqref="I53">
    <cfRule type="cellIs" dxfId="13" priority="4" operator="greaterThan">
      <formula>$K$53</formula>
    </cfRule>
  </conditionalFormatting>
  <conditionalFormatting sqref="I52">
    <cfRule type="cellIs" dxfId="12" priority="3" operator="greaterThan">
      <formula>$K$52</formula>
    </cfRule>
  </conditionalFormatting>
  <conditionalFormatting sqref="I51">
    <cfRule type="cellIs" dxfId="11" priority="2" operator="greaterThan">
      <formula>$K$51</formula>
    </cfRule>
  </conditionalFormatting>
  <conditionalFormatting sqref="I50">
    <cfRule type="cellIs" dxfId="10" priority="1" operator="greaterThan">
      <formula>$K$50</formula>
    </cfRule>
  </conditionalFormatting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1C668-B921-455A-8F28-B64333341626}">
  <dimension ref="B2:M58"/>
  <sheetViews>
    <sheetView topLeftCell="A13" workbookViewId="0">
      <selection activeCell="O42" sqref="O42"/>
    </sheetView>
  </sheetViews>
  <sheetFormatPr defaultRowHeight="15" x14ac:dyDescent="0.25"/>
  <cols>
    <col min="1" max="1" width="2.85546875" customWidth="1"/>
    <col min="2" max="2" width="31.7109375" customWidth="1"/>
    <col min="3" max="3" width="13.42578125" bestFit="1" customWidth="1"/>
    <col min="4" max="4" width="7.7109375" customWidth="1"/>
    <col min="5" max="5" width="12.140625" customWidth="1"/>
    <col min="6" max="6" width="16.42578125" customWidth="1"/>
    <col min="7" max="7" width="16.140625" customWidth="1"/>
    <col min="8" max="8" width="14" customWidth="1"/>
    <col min="9" max="9" width="11.7109375" customWidth="1"/>
    <col min="10" max="10" width="13.28515625" customWidth="1"/>
    <col min="11" max="11" width="18.140625" customWidth="1"/>
    <col min="12" max="12" width="11.5703125" hidden="1" customWidth="1"/>
    <col min="13" max="13" width="16" hidden="1" customWidth="1"/>
  </cols>
  <sheetData>
    <row r="2" spans="2:13" x14ac:dyDescent="0.25">
      <c r="B2" t="s">
        <v>0</v>
      </c>
      <c r="C2" s="3">
        <v>100000</v>
      </c>
      <c r="E2" s="6" t="s">
        <v>38</v>
      </c>
    </row>
    <row r="3" spans="2:13" x14ac:dyDescent="0.25">
      <c r="B3" t="s">
        <v>2</v>
      </c>
      <c r="C3" s="3">
        <v>10000</v>
      </c>
      <c r="E3" t="s">
        <v>26</v>
      </c>
    </row>
    <row r="4" spans="2:13" x14ac:dyDescent="0.25">
      <c r="B4" t="s">
        <v>1</v>
      </c>
      <c r="C4" s="6">
        <f>C2-C3</f>
        <v>90000</v>
      </c>
      <c r="E4" t="s">
        <v>27</v>
      </c>
    </row>
    <row r="5" spans="2:13" x14ac:dyDescent="0.25">
      <c r="B5" t="s">
        <v>3</v>
      </c>
      <c r="C5" s="6">
        <f>'Tax Calcs'!F11</f>
        <v>21517</v>
      </c>
      <c r="E5" t="s">
        <v>37</v>
      </c>
    </row>
    <row r="6" spans="2:13" x14ac:dyDescent="0.25">
      <c r="B6" t="s">
        <v>4</v>
      </c>
      <c r="C6" s="6">
        <f>C4-C5</f>
        <v>68483</v>
      </c>
      <c r="E6" t="s">
        <v>39</v>
      </c>
    </row>
    <row r="7" spans="2:13" x14ac:dyDescent="0.25">
      <c r="B7" t="s">
        <v>5</v>
      </c>
      <c r="C7" s="3">
        <v>47000</v>
      </c>
      <c r="E7" t="s">
        <v>45</v>
      </c>
    </row>
    <row r="8" spans="2:13" x14ac:dyDescent="0.25">
      <c r="B8" t="s">
        <v>6</v>
      </c>
      <c r="C8" s="6">
        <f>C6-C7</f>
        <v>21483</v>
      </c>
    </row>
    <row r="9" spans="2:13" x14ac:dyDescent="0.25">
      <c r="B9" t="s">
        <v>7</v>
      </c>
      <c r="C9" s="7">
        <f>C8/C6</f>
        <v>0.31369829008659084</v>
      </c>
    </row>
    <row r="10" spans="2:13" x14ac:dyDescent="0.25">
      <c r="B10" t="s">
        <v>9</v>
      </c>
      <c r="C10" s="8">
        <v>7.0000000000000007E-2</v>
      </c>
    </row>
    <row r="11" spans="2:13" x14ac:dyDescent="0.25">
      <c r="B11" t="s">
        <v>12</v>
      </c>
      <c r="C11" s="1">
        <v>0.04</v>
      </c>
    </row>
    <row r="12" spans="2:13" x14ac:dyDescent="0.25">
      <c r="B12" t="s">
        <v>18</v>
      </c>
      <c r="C12" s="1">
        <v>0.02</v>
      </c>
    </row>
    <row r="13" spans="2:13" x14ac:dyDescent="0.25">
      <c r="B13" t="s">
        <v>13</v>
      </c>
      <c r="C13" s="2">
        <v>20</v>
      </c>
    </row>
    <row r="15" spans="2:13" ht="37.5" customHeight="1" x14ac:dyDescent="0.25">
      <c r="D15" s="13" t="s">
        <v>8</v>
      </c>
      <c r="E15" s="14" t="s">
        <v>10</v>
      </c>
      <c r="F15" s="14" t="s">
        <v>42</v>
      </c>
      <c r="G15" s="14" t="s">
        <v>36</v>
      </c>
      <c r="H15" s="14" t="s">
        <v>11</v>
      </c>
      <c r="I15" s="14" t="s">
        <v>44</v>
      </c>
      <c r="J15" s="14" t="s">
        <v>5</v>
      </c>
      <c r="K15" s="16" t="s">
        <v>43</v>
      </c>
      <c r="L15" s="15" t="s">
        <v>40</v>
      </c>
      <c r="M15" s="15" t="s">
        <v>41</v>
      </c>
    </row>
    <row r="16" spans="2:13" x14ac:dyDescent="0.25">
      <c r="D16" s="17">
        <v>0</v>
      </c>
      <c r="E16" s="3">
        <v>0</v>
      </c>
      <c r="F16" s="3"/>
      <c r="G16" s="3">
        <v>0</v>
      </c>
      <c r="H16" s="3">
        <v>0</v>
      </c>
      <c r="I16" s="4">
        <f>E16+H16</f>
        <v>0</v>
      </c>
      <c r="J16" s="3">
        <v>0</v>
      </c>
      <c r="K16" s="4">
        <f>J16/$C$11</f>
        <v>0</v>
      </c>
      <c r="L16" s="4"/>
    </row>
    <row r="17" spans="4:13" x14ac:dyDescent="0.25">
      <c r="D17" s="17">
        <v>1</v>
      </c>
      <c r="E17" s="3">
        <f>E16*(1+$C$10)+G17</f>
        <v>21483</v>
      </c>
      <c r="F17" s="3"/>
      <c r="G17" s="3">
        <f>$C$8</f>
        <v>21483</v>
      </c>
      <c r="H17" s="3">
        <f>H16*(1+$C$10)+$C$2*0.095*0.85+$C$3*0.85</f>
        <v>16575</v>
      </c>
      <c r="I17" s="4">
        <f t="shared" ref="I17:I58" si="0">E17+H17</f>
        <v>38058</v>
      </c>
      <c r="J17" s="3">
        <f>$C$7</f>
        <v>47000</v>
      </c>
      <c r="K17" s="4">
        <f t="shared" ref="K17:K58" si="1">J17/$C$11</f>
        <v>1175000</v>
      </c>
      <c r="L17" s="4">
        <f>$C$6</f>
        <v>68483</v>
      </c>
      <c r="M17" s="18">
        <f>L17-J17-G17</f>
        <v>0</v>
      </c>
    </row>
    <row r="18" spans="4:13" x14ac:dyDescent="0.25">
      <c r="D18" s="17">
        <v>2</v>
      </c>
      <c r="E18" s="3">
        <f>E17*(1+$C$10)+G18</f>
        <v>44899.47</v>
      </c>
      <c r="F18" s="3"/>
      <c r="G18" s="3">
        <f>G17*(1+$C$12)</f>
        <v>21912.66</v>
      </c>
      <c r="H18" s="3">
        <f t="shared" ref="H18:H36" si="2">H17*(1+$C$10)+$C$2*0.095*0.85+$C$3*0.85</f>
        <v>34310.25</v>
      </c>
      <c r="I18" s="4">
        <f t="shared" si="0"/>
        <v>79209.72</v>
      </c>
      <c r="J18" s="3">
        <f t="shared" ref="J18:J58" si="3">J17*(1+$C$12)</f>
        <v>47940</v>
      </c>
      <c r="K18" s="4">
        <f t="shared" si="1"/>
        <v>1198500</v>
      </c>
      <c r="L18" s="18">
        <f>L17*1.02</f>
        <v>69852.66</v>
      </c>
      <c r="M18" s="18">
        <f>L18-J18-G18</f>
        <v>0</v>
      </c>
    </row>
    <row r="19" spans="4:13" x14ac:dyDescent="0.25">
      <c r="D19" s="17">
        <v>3</v>
      </c>
      <c r="E19" s="3">
        <f t="shared" ref="E19:E35" si="4">E18*(1+$C$10)+G19</f>
        <v>70393.34610000001</v>
      </c>
      <c r="F19" s="3"/>
      <c r="G19" s="3">
        <f t="shared" ref="G19:G35" si="5">G18*(1+$C$12)</f>
        <v>22350.913199999999</v>
      </c>
      <c r="H19" s="3">
        <f t="shared" si="2"/>
        <v>53286.967499999999</v>
      </c>
      <c r="I19" s="4">
        <f t="shared" si="0"/>
        <v>123680.31360000001</v>
      </c>
      <c r="J19" s="3">
        <f t="shared" si="3"/>
        <v>48898.8</v>
      </c>
      <c r="K19" s="4">
        <f t="shared" si="1"/>
        <v>1222470</v>
      </c>
      <c r="L19" s="18">
        <f t="shared" ref="L19:L31" si="6">L18*1.02</f>
        <v>71249.713199999998</v>
      </c>
      <c r="M19" s="18">
        <f t="shared" ref="M19:M58" si="7">L19-J19-G19</f>
        <v>0</v>
      </c>
    </row>
    <row r="20" spans="4:13" x14ac:dyDescent="0.25">
      <c r="D20" s="17">
        <v>4</v>
      </c>
      <c r="E20" s="3">
        <f t="shared" si="4"/>
        <v>98118.811791000015</v>
      </c>
      <c r="F20" s="3"/>
      <c r="G20" s="3">
        <f t="shared" si="5"/>
        <v>22797.931464000001</v>
      </c>
      <c r="H20" s="3">
        <f t="shared" si="2"/>
        <v>73592.055225000004</v>
      </c>
      <c r="I20" s="4">
        <f t="shared" si="0"/>
        <v>171710.86701600003</v>
      </c>
      <c r="J20" s="3">
        <f t="shared" si="3"/>
        <v>49876.776000000005</v>
      </c>
      <c r="K20" s="4">
        <f t="shared" si="1"/>
        <v>1246919.4000000001</v>
      </c>
      <c r="L20" s="18">
        <f t="shared" si="6"/>
        <v>72674.707464000006</v>
      </c>
      <c r="M20" s="18">
        <f t="shared" si="7"/>
        <v>0</v>
      </c>
    </row>
    <row r="21" spans="4:13" x14ac:dyDescent="0.25">
      <c r="D21" s="17">
        <v>5</v>
      </c>
      <c r="E21" s="3">
        <f t="shared" si="4"/>
        <v>128241.01870965003</v>
      </c>
      <c r="F21" s="3"/>
      <c r="G21" s="3">
        <f t="shared" si="5"/>
        <v>23253.890093280002</v>
      </c>
      <c r="H21" s="3">
        <f t="shared" si="2"/>
        <v>95318.499090750003</v>
      </c>
      <c r="I21" s="4">
        <f t="shared" si="0"/>
        <v>223559.51780040003</v>
      </c>
      <c r="J21" s="3">
        <f t="shared" si="3"/>
        <v>50874.311520000003</v>
      </c>
      <c r="K21" s="4">
        <f t="shared" si="1"/>
        <v>1271857.7879999999</v>
      </c>
      <c r="L21" s="18">
        <f t="shared" si="6"/>
        <v>74128.201613280005</v>
      </c>
      <c r="M21" s="18">
        <f t="shared" si="7"/>
        <v>0</v>
      </c>
    </row>
    <row r="22" spans="4:13" x14ac:dyDescent="0.25">
      <c r="D22" s="17">
        <v>6</v>
      </c>
      <c r="E22" s="3">
        <f t="shared" si="4"/>
        <v>160936.85791447115</v>
      </c>
      <c r="F22" s="3"/>
      <c r="G22" s="3">
        <f t="shared" si="5"/>
        <v>23718.967895145604</v>
      </c>
      <c r="H22" s="3">
        <f t="shared" si="2"/>
        <v>118565.79402710251</v>
      </c>
      <c r="I22" s="4">
        <f t="shared" si="0"/>
        <v>279502.65194157365</v>
      </c>
      <c r="J22" s="3">
        <f t="shared" si="3"/>
        <v>51891.797750400001</v>
      </c>
      <c r="K22" s="4">
        <f t="shared" si="1"/>
        <v>1297294.9437599999</v>
      </c>
      <c r="L22" s="18">
        <f t="shared" si="6"/>
        <v>75610.765645545602</v>
      </c>
      <c r="M22" s="18">
        <f t="shared" si="7"/>
        <v>0</v>
      </c>
    </row>
    <row r="23" spans="4:13" x14ac:dyDescent="0.25">
      <c r="D23" s="17">
        <v>7</v>
      </c>
      <c r="E23" s="3">
        <f t="shared" si="4"/>
        <v>196395.78522153269</v>
      </c>
      <c r="F23" s="3"/>
      <c r="G23" s="3">
        <f t="shared" si="5"/>
        <v>24193.347253048516</v>
      </c>
      <c r="H23" s="3">
        <f t="shared" si="2"/>
        <v>143440.39960899969</v>
      </c>
      <c r="I23" s="4">
        <f t="shared" si="0"/>
        <v>339836.18483053241</v>
      </c>
      <c r="J23" s="3">
        <f t="shared" si="3"/>
        <v>52929.633705408</v>
      </c>
      <c r="K23" s="4">
        <f t="shared" si="1"/>
        <v>1323240.8426351999</v>
      </c>
      <c r="L23" s="18">
        <f t="shared" si="6"/>
        <v>77122.980958456508</v>
      </c>
      <c r="M23" s="18">
        <f t="shared" si="7"/>
        <v>0</v>
      </c>
    </row>
    <row r="24" spans="4:13" x14ac:dyDescent="0.25">
      <c r="D24" s="17">
        <v>8</v>
      </c>
      <c r="E24" s="3">
        <f t="shared" si="4"/>
        <v>234820.70438514947</v>
      </c>
      <c r="F24" s="3"/>
      <c r="G24" s="3">
        <f t="shared" si="5"/>
        <v>24677.214198109486</v>
      </c>
      <c r="H24" s="3">
        <f t="shared" si="2"/>
        <v>170056.22758162968</v>
      </c>
      <c r="I24" s="4">
        <f t="shared" si="0"/>
        <v>404876.93196677917</v>
      </c>
      <c r="J24" s="3">
        <f t="shared" si="3"/>
        <v>53988.226379516163</v>
      </c>
      <c r="K24" s="4">
        <f t="shared" si="1"/>
        <v>1349705.659487904</v>
      </c>
      <c r="L24" s="18">
        <f t="shared" si="6"/>
        <v>78665.440577625646</v>
      </c>
      <c r="M24" s="18">
        <f t="shared" si="7"/>
        <v>0</v>
      </c>
    </row>
    <row r="25" spans="4:13" x14ac:dyDescent="0.25">
      <c r="D25" s="17">
        <v>9</v>
      </c>
      <c r="E25" s="3">
        <f t="shared" si="4"/>
        <v>276428.91217418161</v>
      </c>
      <c r="F25" s="3"/>
      <c r="G25" s="3">
        <f t="shared" si="5"/>
        <v>25170.758482071677</v>
      </c>
      <c r="H25" s="3">
        <f t="shared" si="2"/>
        <v>198535.16351234377</v>
      </c>
      <c r="I25" s="4">
        <f t="shared" si="0"/>
        <v>474964.07568652538</v>
      </c>
      <c r="J25" s="3">
        <f t="shared" si="3"/>
        <v>55067.99090710649</v>
      </c>
      <c r="K25" s="4">
        <f t="shared" si="1"/>
        <v>1376699.7726776623</v>
      </c>
      <c r="L25" s="18">
        <f t="shared" si="6"/>
        <v>80238.749389178163</v>
      </c>
      <c r="M25" s="18">
        <f t="shared" si="7"/>
        <v>0</v>
      </c>
    </row>
    <row r="26" spans="4:13" x14ac:dyDescent="0.25">
      <c r="D26" s="17">
        <v>10</v>
      </c>
      <c r="E26" s="3">
        <f t="shared" si="4"/>
        <v>321453.10967808746</v>
      </c>
      <c r="F26" s="3"/>
      <c r="G26" s="3">
        <f t="shared" si="5"/>
        <v>25674.17365171311</v>
      </c>
      <c r="H26" s="3">
        <f t="shared" si="2"/>
        <v>229007.62495820786</v>
      </c>
      <c r="I26" s="4">
        <f t="shared" si="0"/>
        <v>550460.73463629535</v>
      </c>
      <c r="J26" s="3">
        <f t="shared" si="3"/>
        <v>56169.350725248623</v>
      </c>
      <c r="K26" s="4">
        <f t="shared" si="1"/>
        <v>1404233.7681312156</v>
      </c>
      <c r="L26" s="18">
        <f t="shared" si="6"/>
        <v>81843.524376961723</v>
      </c>
      <c r="M26" s="18">
        <f t="shared" si="7"/>
        <v>0</v>
      </c>
    </row>
    <row r="27" spans="4:13" x14ac:dyDescent="0.25">
      <c r="D27" s="17">
        <v>11</v>
      </c>
      <c r="E27" s="3">
        <f t="shared" si="4"/>
        <v>370142.48448030098</v>
      </c>
      <c r="F27" s="3"/>
      <c r="G27" s="3">
        <f t="shared" si="5"/>
        <v>26187.657124747373</v>
      </c>
      <c r="H27" s="3">
        <f t="shared" si="2"/>
        <v>261613.15870528243</v>
      </c>
      <c r="I27" s="4">
        <f t="shared" si="0"/>
        <v>631755.64318558341</v>
      </c>
      <c r="J27" s="3">
        <f t="shared" si="3"/>
        <v>57292.737739753597</v>
      </c>
      <c r="K27" s="4">
        <f t="shared" si="1"/>
        <v>1432318.4434938398</v>
      </c>
      <c r="L27" s="18">
        <f t="shared" si="6"/>
        <v>83480.394864500966</v>
      </c>
      <c r="M27" s="18">
        <f t="shared" si="7"/>
        <v>0</v>
      </c>
    </row>
    <row r="28" spans="4:13" x14ac:dyDescent="0.25">
      <c r="D28" s="17">
        <v>12</v>
      </c>
      <c r="E28" s="3">
        <f t="shared" si="4"/>
        <v>422763.86866116442</v>
      </c>
      <c r="F28" s="3"/>
      <c r="G28" s="3">
        <f t="shared" si="5"/>
        <v>26711.410267242321</v>
      </c>
      <c r="H28" s="3">
        <f t="shared" si="2"/>
        <v>296501.07981465221</v>
      </c>
      <c r="I28" s="4">
        <f t="shared" si="0"/>
        <v>719264.94847581664</v>
      </c>
      <c r="J28" s="3">
        <f t="shared" si="3"/>
        <v>58438.592494548669</v>
      </c>
      <c r="K28" s="4">
        <f t="shared" si="1"/>
        <v>1460964.8123637168</v>
      </c>
      <c r="L28" s="18">
        <f t="shared" si="6"/>
        <v>85150.00276179098</v>
      </c>
      <c r="M28" s="18">
        <f t="shared" si="7"/>
        <v>0</v>
      </c>
    </row>
    <row r="29" spans="4:13" x14ac:dyDescent="0.25">
      <c r="D29" s="17">
        <v>13</v>
      </c>
      <c r="E29" s="3">
        <f t="shared" si="4"/>
        <v>479602.97794003313</v>
      </c>
      <c r="F29" s="3"/>
      <c r="G29" s="3">
        <f t="shared" si="5"/>
        <v>27245.638472587169</v>
      </c>
      <c r="H29" s="3">
        <f t="shared" si="2"/>
        <v>333831.15540167788</v>
      </c>
      <c r="I29" s="4">
        <f t="shared" si="0"/>
        <v>813434.13334171101</v>
      </c>
      <c r="J29" s="3">
        <f t="shared" si="3"/>
        <v>59607.364344439644</v>
      </c>
      <c r="K29" s="4">
        <f t="shared" si="1"/>
        <v>1490184.1086109912</v>
      </c>
      <c r="L29" s="18">
        <f t="shared" si="6"/>
        <v>86853.002817026805</v>
      </c>
      <c r="M29" s="18">
        <f t="shared" si="7"/>
        <v>0</v>
      </c>
    </row>
    <row r="30" spans="4:13" x14ac:dyDescent="0.25">
      <c r="D30" s="17">
        <v>14</v>
      </c>
      <c r="E30" s="3">
        <f t="shared" si="4"/>
        <v>540965.73763787444</v>
      </c>
      <c r="F30" s="3"/>
      <c r="G30" s="3">
        <f t="shared" si="5"/>
        <v>27790.551242038913</v>
      </c>
      <c r="H30" s="3">
        <f t="shared" si="2"/>
        <v>373774.33627979533</v>
      </c>
      <c r="I30" s="4">
        <f t="shared" si="0"/>
        <v>914740.07391766971</v>
      </c>
      <c r="J30" s="3">
        <f t="shared" si="3"/>
        <v>60799.511631328438</v>
      </c>
      <c r="K30" s="4">
        <f t="shared" si="1"/>
        <v>1519987.7907832109</v>
      </c>
      <c r="L30" s="18">
        <f t="shared" si="6"/>
        <v>88590.062873367337</v>
      </c>
      <c r="M30" s="18">
        <f t="shared" si="7"/>
        <v>0</v>
      </c>
    </row>
    <row r="31" spans="4:13" x14ac:dyDescent="0.25">
      <c r="D31" s="17">
        <v>15</v>
      </c>
      <c r="E31" s="22">
        <f t="shared" si="4"/>
        <v>607179.70153940527</v>
      </c>
      <c r="F31" s="23"/>
      <c r="G31" s="24">
        <f t="shared" si="5"/>
        <v>28346.362266879692</v>
      </c>
      <c r="H31" s="3">
        <f t="shared" si="2"/>
        <v>416513.53981938103</v>
      </c>
      <c r="I31" s="25">
        <f t="shared" si="0"/>
        <v>1023693.2413587864</v>
      </c>
      <c r="J31" s="24">
        <f t="shared" si="3"/>
        <v>62015.501863955011</v>
      </c>
      <c r="K31" s="25">
        <f t="shared" si="1"/>
        <v>1550387.5465988752</v>
      </c>
      <c r="L31" s="18">
        <f t="shared" si="6"/>
        <v>90361.864130834685</v>
      </c>
      <c r="M31" s="18">
        <f t="shared" si="7"/>
        <v>0</v>
      </c>
    </row>
    <row r="32" spans="4:13" x14ac:dyDescent="0.25">
      <c r="D32" s="17">
        <v>16</v>
      </c>
      <c r="E32" s="22">
        <f t="shared" si="4"/>
        <v>678595.57015938091</v>
      </c>
      <c r="F32" s="26"/>
      <c r="G32" s="24">
        <f t="shared" si="5"/>
        <v>28913.289512217289</v>
      </c>
      <c r="H32" s="3">
        <f t="shared" si="2"/>
        <v>462244.4876067377</v>
      </c>
      <c r="I32" s="25">
        <f t="shared" si="0"/>
        <v>1140840.0577661186</v>
      </c>
      <c r="J32" s="24">
        <f t="shared" si="3"/>
        <v>63255.811901234112</v>
      </c>
      <c r="K32" s="25">
        <f t="shared" si="1"/>
        <v>1581395.2975308527</v>
      </c>
      <c r="L32" s="4">
        <f t="shared" ref="L32" si="8">$C$6</f>
        <v>68483</v>
      </c>
      <c r="M32" s="18">
        <f t="shared" si="7"/>
        <v>-23686.101413451401</v>
      </c>
    </row>
    <row r="33" spans="4:13" x14ac:dyDescent="0.25">
      <c r="D33" s="17">
        <v>17</v>
      </c>
      <c r="E33" s="22">
        <f t="shared" si="4"/>
        <v>755588.81537299918</v>
      </c>
      <c r="F33" s="24"/>
      <c r="G33" s="24">
        <f t="shared" si="5"/>
        <v>29491.555302461635</v>
      </c>
      <c r="H33" s="3">
        <f t="shared" si="2"/>
        <v>511176.60173920938</v>
      </c>
      <c r="I33" s="25">
        <f t="shared" si="0"/>
        <v>1266765.4171122084</v>
      </c>
      <c r="J33" s="24">
        <f t="shared" si="3"/>
        <v>64520.928139258795</v>
      </c>
      <c r="K33" s="25">
        <f t="shared" si="1"/>
        <v>1613023.2034814698</v>
      </c>
      <c r="L33" s="18">
        <f t="shared" ref="L33:L46" si="9">L32*1.02</f>
        <v>69852.66</v>
      </c>
      <c r="M33" s="18">
        <f t="shared" si="7"/>
        <v>-24159.823441720426</v>
      </c>
    </row>
    <row r="34" spans="4:13" x14ac:dyDescent="0.25">
      <c r="D34" s="17">
        <v>18</v>
      </c>
      <c r="E34" s="22">
        <f t="shared" si="4"/>
        <v>838561.41885761998</v>
      </c>
      <c r="F34" s="24"/>
      <c r="G34" s="24">
        <f t="shared" si="5"/>
        <v>30081.386408510869</v>
      </c>
      <c r="H34" s="3">
        <f t="shared" si="2"/>
        <v>563533.96386095404</v>
      </c>
      <c r="I34" s="25">
        <f t="shared" si="0"/>
        <v>1402095.382718574</v>
      </c>
      <c r="J34" s="24">
        <f t="shared" si="3"/>
        <v>65811.346702043971</v>
      </c>
      <c r="K34" s="25">
        <f t="shared" si="1"/>
        <v>1645283.6675510993</v>
      </c>
      <c r="L34" s="18">
        <f t="shared" si="9"/>
        <v>71249.713199999998</v>
      </c>
      <c r="M34" s="18">
        <f t="shared" si="7"/>
        <v>-24643.019910554842</v>
      </c>
    </row>
    <row r="35" spans="4:13" x14ac:dyDescent="0.25">
      <c r="D35" s="17">
        <v>19</v>
      </c>
      <c r="E35" s="22">
        <f t="shared" si="4"/>
        <v>927943.73231433448</v>
      </c>
      <c r="F35" s="24"/>
      <c r="G35" s="24">
        <f t="shared" si="5"/>
        <v>30683.014136681086</v>
      </c>
      <c r="H35" s="3">
        <f t="shared" si="2"/>
        <v>619556.34133122081</v>
      </c>
      <c r="I35" s="25">
        <f t="shared" si="0"/>
        <v>1547500.0736455554</v>
      </c>
      <c r="J35" s="24">
        <f t="shared" si="3"/>
        <v>67127.573636084853</v>
      </c>
      <c r="K35" s="25">
        <f t="shared" si="1"/>
        <v>1678189.3409021213</v>
      </c>
      <c r="L35" s="18">
        <f t="shared" si="9"/>
        <v>72674.707464000006</v>
      </c>
      <c r="M35" s="18">
        <f t="shared" si="7"/>
        <v>-25135.880308765933</v>
      </c>
    </row>
    <row r="36" spans="4:13" x14ac:dyDescent="0.25">
      <c r="D36" s="27">
        <v>20</v>
      </c>
      <c r="E36" s="9">
        <f t="shared" ref="E36:E58" si="10">E35*(1+$C$10)-J36</f>
        <v>924429.66846753145</v>
      </c>
      <c r="F36" s="10">
        <f>J32/E32</f>
        <v>9.3215774878072519E-2</v>
      </c>
      <c r="G36" s="9"/>
      <c r="H36" s="11">
        <f t="shared" si="2"/>
        <v>679500.28522440628</v>
      </c>
      <c r="I36" s="11">
        <f t="shared" si="0"/>
        <v>1603929.9536919377</v>
      </c>
      <c r="J36" s="9">
        <f t="shared" si="3"/>
        <v>68470.125108806547</v>
      </c>
      <c r="K36" s="12">
        <f t="shared" si="1"/>
        <v>1711753.1277201637</v>
      </c>
      <c r="L36" s="18">
        <f t="shared" si="9"/>
        <v>74128.201613280005</v>
      </c>
      <c r="M36" s="18">
        <f t="shared" si="7"/>
        <v>5658.076504473458</v>
      </c>
    </row>
    <row r="37" spans="4:13" x14ac:dyDescent="0.25">
      <c r="D37" s="17">
        <v>21</v>
      </c>
      <c r="E37" s="3">
        <f t="shared" si="10"/>
        <v>919300.21764927602</v>
      </c>
      <c r="F37" s="3"/>
      <c r="G37" s="3"/>
      <c r="H37" s="3">
        <f t="shared" ref="H37:H58" si="11">H36*(1+$C$10)</f>
        <v>727065.30519011477</v>
      </c>
      <c r="I37" s="4">
        <f t="shared" si="0"/>
        <v>1646365.5228393907</v>
      </c>
      <c r="J37" s="3">
        <f t="shared" si="3"/>
        <v>69839.527610982681</v>
      </c>
      <c r="K37" s="4">
        <f t="shared" si="1"/>
        <v>1745988.1902745669</v>
      </c>
      <c r="L37" s="18">
        <f t="shared" si="9"/>
        <v>75610.765645545602</v>
      </c>
      <c r="M37" s="18">
        <f t="shared" si="7"/>
        <v>5771.2380345629208</v>
      </c>
    </row>
    <row r="38" spans="4:13" x14ac:dyDescent="0.25">
      <c r="D38" s="17">
        <v>22</v>
      </c>
      <c r="E38" s="3">
        <f t="shared" si="10"/>
        <v>912414.91472152306</v>
      </c>
      <c r="F38" s="3"/>
      <c r="G38" s="3"/>
      <c r="H38" s="3">
        <f t="shared" si="11"/>
        <v>777959.87655342289</v>
      </c>
      <c r="I38" s="4">
        <f t="shared" si="0"/>
        <v>1690374.791274946</v>
      </c>
      <c r="J38" s="3">
        <f t="shared" si="3"/>
        <v>71236.318163202333</v>
      </c>
      <c r="K38" s="4">
        <f t="shared" si="1"/>
        <v>1780907.9540800583</v>
      </c>
      <c r="L38" s="18">
        <f t="shared" si="9"/>
        <v>77122.980958456508</v>
      </c>
      <c r="M38" s="18">
        <f t="shared" si="7"/>
        <v>5886.6627952541749</v>
      </c>
    </row>
    <row r="39" spans="4:13" x14ac:dyDescent="0.25">
      <c r="D39" s="17">
        <v>23</v>
      </c>
      <c r="E39" s="3">
        <f t="shared" si="10"/>
        <v>903622.91422556329</v>
      </c>
      <c r="F39" s="3"/>
      <c r="G39" s="3"/>
      <c r="H39" s="3">
        <f t="shared" si="11"/>
        <v>832417.06791216251</v>
      </c>
      <c r="I39" s="4">
        <f t="shared" si="0"/>
        <v>1736039.9821377257</v>
      </c>
      <c r="J39" s="3">
        <f t="shared" si="3"/>
        <v>72661.044526466387</v>
      </c>
      <c r="K39" s="4">
        <f t="shared" si="1"/>
        <v>1816526.1131616596</v>
      </c>
      <c r="L39" s="18">
        <f t="shared" si="9"/>
        <v>78665.440577625646</v>
      </c>
      <c r="M39" s="18">
        <f t="shared" si="7"/>
        <v>6004.3960511592595</v>
      </c>
    </row>
    <row r="40" spans="4:13" x14ac:dyDescent="0.25">
      <c r="D40" s="17">
        <v>24</v>
      </c>
      <c r="E40" s="3">
        <f t="shared" si="10"/>
        <v>892762.25280435709</v>
      </c>
      <c r="F40" s="3"/>
      <c r="G40" s="3"/>
      <c r="H40" s="3">
        <f t="shared" si="11"/>
        <v>890686.26266601391</v>
      </c>
      <c r="I40" s="4">
        <f t="shared" si="0"/>
        <v>1783448.5154703711</v>
      </c>
      <c r="J40" s="3">
        <f t="shared" si="3"/>
        <v>74114.26541699571</v>
      </c>
      <c r="K40" s="4">
        <f t="shared" si="1"/>
        <v>1852856.6354248927</v>
      </c>
      <c r="L40" s="18">
        <f t="shared" si="9"/>
        <v>80238.749389178163</v>
      </c>
      <c r="M40" s="18">
        <f t="shared" si="7"/>
        <v>6124.4839721824537</v>
      </c>
    </row>
    <row r="41" spans="4:13" x14ac:dyDescent="0.25">
      <c r="D41" s="17">
        <v>25</v>
      </c>
      <c r="E41" s="3">
        <f t="shared" si="10"/>
        <v>879659.05977532652</v>
      </c>
      <c r="F41" s="3"/>
      <c r="G41" s="3"/>
      <c r="H41" s="3">
        <f t="shared" si="11"/>
        <v>953034.30105263495</v>
      </c>
      <c r="I41" s="4">
        <f t="shared" si="0"/>
        <v>1832693.3608279615</v>
      </c>
      <c r="J41" s="3">
        <f t="shared" si="3"/>
        <v>75596.550725335619</v>
      </c>
      <c r="K41" s="4">
        <f t="shared" si="1"/>
        <v>1889913.7681333905</v>
      </c>
      <c r="L41" s="18">
        <f t="shared" si="9"/>
        <v>81843.524376961723</v>
      </c>
      <c r="M41" s="18">
        <f t="shared" si="7"/>
        <v>6246.9736516261037</v>
      </c>
    </row>
    <row r="42" spans="4:13" x14ac:dyDescent="0.25">
      <c r="D42" s="17">
        <v>26</v>
      </c>
      <c r="E42" s="3">
        <f t="shared" si="10"/>
        <v>864126.71221975714</v>
      </c>
      <c r="F42" s="3"/>
      <c r="G42" s="3"/>
      <c r="H42" s="3">
        <f t="shared" si="11"/>
        <v>1019746.7021263194</v>
      </c>
      <c r="I42" s="4">
        <f t="shared" si="0"/>
        <v>1883873.4143460765</v>
      </c>
      <c r="J42" s="3">
        <f t="shared" si="3"/>
        <v>77108.481739842333</v>
      </c>
      <c r="K42" s="4">
        <f t="shared" si="1"/>
        <v>1927712.0434960583</v>
      </c>
      <c r="L42" s="18">
        <f t="shared" si="9"/>
        <v>83480.394864500966</v>
      </c>
      <c r="M42" s="18">
        <f t="shared" si="7"/>
        <v>6371.913124658633</v>
      </c>
    </row>
    <row r="43" spans="4:13" x14ac:dyDescent="0.25">
      <c r="D43" s="17">
        <v>27</v>
      </c>
      <c r="E43" s="3">
        <f t="shared" si="10"/>
        <v>845964.93070050096</v>
      </c>
      <c r="F43" s="3"/>
      <c r="G43" s="3"/>
      <c r="H43" s="3">
        <f t="shared" si="11"/>
        <v>1091128.9712751617</v>
      </c>
      <c r="I43" s="4">
        <f t="shared" si="0"/>
        <v>1937093.9019756627</v>
      </c>
      <c r="J43" s="3">
        <f t="shared" si="3"/>
        <v>78650.651374639187</v>
      </c>
      <c r="K43" s="4">
        <f t="shared" si="1"/>
        <v>1966266.2843659797</v>
      </c>
      <c r="L43" s="18">
        <f t="shared" si="9"/>
        <v>85150.00276179098</v>
      </c>
      <c r="M43" s="18">
        <f t="shared" si="7"/>
        <v>6499.3513871517935</v>
      </c>
    </row>
    <row r="44" spans="4:13" x14ac:dyDescent="0.25">
      <c r="D44" s="17">
        <v>28</v>
      </c>
      <c r="E44" s="3">
        <f t="shared" si="10"/>
        <v>824958.81144740421</v>
      </c>
      <c r="F44" s="3"/>
      <c r="G44" s="3"/>
      <c r="H44" s="3">
        <f t="shared" si="11"/>
        <v>1167507.999264423</v>
      </c>
      <c r="I44" s="4">
        <f t="shared" si="0"/>
        <v>1992466.8107118271</v>
      </c>
      <c r="J44" s="3">
        <f t="shared" si="3"/>
        <v>80223.664402131966</v>
      </c>
      <c r="K44" s="4">
        <f t="shared" si="1"/>
        <v>2005591.6100532992</v>
      </c>
      <c r="L44" s="18">
        <f t="shared" si="9"/>
        <v>86853.002817026805</v>
      </c>
      <c r="M44" s="18">
        <f t="shared" si="7"/>
        <v>6629.3384148948389</v>
      </c>
    </row>
    <row r="45" spans="4:13" x14ac:dyDescent="0.25">
      <c r="D45" s="17">
        <v>29</v>
      </c>
      <c r="E45" s="3">
        <f t="shared" si="10"/>
        <v>800877.79055854795</v>
      </c>
      <c r="F45" s="3"/>
      <c r="G45" s="3"/>
      <c r="H45" s="3">
        <f t="shared" si="11"/>
        <v>1249233.5592129328</v>
      </c>
      <c r="I45" s="4">
        <f t="shared" si="0"/>
        <v>2050111.3497714808</v>
      </c>
      <c r="J45" s="3">
        <f t="shared" si="3"/>
        <v>81828.137690174612</v>
      </c>
      <c r="K45" s="4">
        <f t="shared" si="1"/>
        <v>2045703.4422543652</v>
      </c>
      <c r="L45" s="18">
        <f t="shared" si="9"/>
        <v>88590.062873367337</v>
      </c>
      <c r="M45" s="18">
        <f t="shared" si="7"/>
        <v>6761.9251831927249</v>
      </c>
    </row>
    <row r="46" spans="4:13" x14ac:dyDescent="0.25">
      <c r="D46" s="17">
        <v>30</v>
      </c>
      <c r="E46" s="3">
        <f t="shared" si="10"/>
        <v>773474.53545366833</v>
      </c>
      <c r="F46" s="3"/>
      <c r="G46" s="3"/>
      <c r="H46" s="3">
        <f t="shared" si="11"/>
        <v>1336679.9083578382</v>
      </c>
      <c r="I46" s="4">
        <f t="shared" si="0"/>
        <v>2110154.4438115065</v>
      </c>
      <c r="J46" s="3">
        <f t="shared" si="3"/>
        <v>83464.700443978101</v>
      </c>
      <c r="K46" s="4">
        <f t="shared" si="1"/>
        <v>2086617.5110994524</v>
      </c>
      <c r="L46" s="18">
        <f t="shared" si="9"/>
        <v>90361.864130834685</v>
      </c>
      <c r="M46" s="18">
        <f t="shared" si="7"/>
        <v>6897.1636868565838</v>
      </c>
    </row>
    <row r="47" spans="4:13" x14ac:dyDescent="0.25">
      <c r="D47" s="17">
        <v>31</v>
      </c>
      <c r="E47" s="3">
        <f t="shared" si="10"/>
        <v>742483.7584825675</v>
      </c>
      <c r="F47" s="3"/>
      <c r="G47" s="3"/>
      <c r="H47" s="3">
        <f t="shared" si="11"/>
        <v>1430247.501942887</v>
      </c>
      <c r="I47" s="4">
        <f t="shared" si="0"/>
        <v>2172731.2604254545</v>
      </c>
      <c r="J47" s="3">
        <f t="shared" si="3"/>
        <v>85133.99445285766</v>
      </c>
      <c r="K47" s="4">
        <f t="shared" si="1"/>
        <v>2128349.8613214414</v>
      </c>
      <c r="L47" s="4">
        <f t="shared" ref="L47" si="12">$C$6</f>
        <v>68483</v>
      </c>
      <c r="M47" s="18">
        <f t="shared" si="7"/>
        <v>-16650.99445285766</v>
      </c>
    </row>
    <row r="48" spans="4:13" x14ac:dyDescent="0.25">
      <c r="D48" s="17">
        <v>32</v>
      </c>
      <c r="E48" s="3">
        <f t="shared" si="10"/>
        <v>707620.94723443245</v>
      </c>
      <c r="F48" s="3"/>
      <c r="G48" s="3"/>
      <c r="H48" s="3">
        <f t="shared" si="11"/>
        <v>1530364.8270788891</v>
      </c>
      <c r="I48" s="4">
        <f t="shared" si="0"/>
        <v>2237985.7743133213</v>
      </c>
      <c r="J48" s="3">
        <f t="shared" si="3"/>
        <v>86836.674341914812</v>
      </c>
      <c r="K48" s="4">
        <f t="shared" si="1"/>
        <v>2170916.8585478701</v>
      </c>
      <c r="L48" s="18">
        <f t="shared" ref="L48:L58" si="13">L47*1.02</f>
        <v>69852.66</v>
      </c>
      <c r="M48" s="18">
        <f t="shared" si="7"/>
        <v>-16984.014341914808</v>
      </c>
    </row>
    <row r="49" spans="4:13" x14ac:dyDescent="0.25">
      <c r="D49" s="17">
        <v>33</v>
      </c>
      <c r="E49" s="3">
        <f t="shared" si="10"/>
        <v>668581.00571208959</v>
      </c>
      <c r="F49" s="3"/>
      <c r="G49" s="3"/>
      <c r="H49" s="3">
        <f t="shared" si="11"/>
        <v>1637490.3649744114</v>
      </c>
      <c r="I49" s="4">
        <f t="shared" si="0"/>
        <v>2306071.3706865013</v>
      </c>
      <c r="J49" s="3">
        <f t="shared" si="3"/>
        <v>88573.407828753116</v>
      </c>
      <c r="K49" s="4">
        <f t="shared" si="1"/>
        <v>2214335.1957188277</v>
      </c>
      <c r="L49" s="18">
        <f t="shared" si="13"/>
        <v>71249.713199999998</v>
      </c>
      <c r="M49" s="18">
        <f t="shared" si="7"/>
        <v>-17323.694628753117</v>
      </c>
    </row>
    <row r="50" spans="4:13" x14ac:dyDescent="0.25">
      <c r="D50" s="17">
        <v>34</v>
      </c>
      <c r="E50" s="3">
        <f t="shared" si="10"/>
        <v>625036.80012660765</v>
      </c>
      <c r="F50" s="3"/>
      <c r="G50" s="3"/>
      <c r="H50" s="3">
        <f t="shared" si="11"/>
        <v>1752114.6905226205</v>
      </c>
      <c r="I50" s="4">
        <f t="shared" si="0"/>
        <v>2377151.490649228</v>
      </c>
      <c r="J50" s="3">
        <f t="shared" si="3"/>
        <v>90344.875985328181</v>
      </c>
      <c r="K50" s="4">
        <f t="shared" si="1"/>
        <v>2258621.8996332046</v>
      </c>
      <c r="L50" s="18">
        <f t="shared" si="13"/>
        <v>72674.707464000006</v>
      </c>
      <c r="M50" s="18">
        <f t="shared" si="7"/>
        <v>-17670.168521328174</v>
      </c>
    </row>
    <row r="51" spans="4:13" x14ac:dyDescent="0.25">
      <c r="D51" s="17">
        <v>35</v>
      </c>
      <c r="E51" s="3">
        <f t="shared" si="10"/>
        <v>576637.60263043549</v>
      </c>
      <c r="F51" s="3"/>
      <c r="G51" s="3"/>
      <c r="H51" s="3">
        <f t="shared" si="11"/>
        <v>1874762.7188592041</v>
      </c>
      <c r="I51" s="4">
        <f t="shared" si="0"/>
        <v>2451400.3214896396</v>
      </c>
      <c r="J51" s="3">
        <f t="shared" si="3"/>
        <v>92151.77350503474</v>
      </c>
      <c r="K51" s="4">
        <f t="shared" si="1"/>
        <v>2303794.3376258686</v>
      </c>
      <c r="L51" s="18">
        <f t="shared" si="13"/>
        <v>74128.201613280005</v>
      </c>
      <c r="M51" s="18">
        <f t="shared" si="7"/>
        <v>-18023.571891754735</v>
      </c>
    </row>
    <row r="52" spans="4:13" x14ac:dyDescent="0.25">
      <c r="D52" s="17">
        <v>36</v>
      </c>
      <c r="E52" s="3">
        <f t="shared" si="10"/>
        <v>523007.42583943054</v>
      </c>
      <c r="F52" s="3"/>
      <c r="G52" s="3"/>
      <c r="H52" s="3">
        <f t="shared" si="11"/>
        <v>2005996.1091793485</v>
      </c>
      <c r="I52" s="4">
        <f t="shared" si="0"/>
        <v>2529003.5350187789</v>
      </c>
      <c r="J52" s="3">
        <f t="shared" si="3"/>
        <v>93994.808975135442</v>
      </c>
      <c r="K52" s="4">
        <f t="shared" si="1"/>
        <v>2349870.224378386</v>
      </c>
      <c r="L52" s="18">
        <f t="shared" si="13"/>
        <v>75610.765645545602</v>
      </c>
      <c r="M52" s="18">
        <f t="shared" si="7"/>
        <v>-18384.04332958984</v>
      </c>
    </row>
    <row r="53" spans="4:13" x14ac:dyDescent="0.25">
      <c r="D53" s="17">
        <v>37</v>
      </c>
      <c r="E53" s="28">
        <f t="shared" si="10"/>
        <v>463743.24049355253</v>
      </c>
      <c r="F53" s="9"/>
      <c r="G53" s="9"/>
      <c r="H53" s="9">
        <f t="shared" si="11"/>
        <v>2146415.836821903</v>
      </c>
      <c r="I53" s="11">
        <f t="shared" si="0"/>
        <v>2610159.0773154553</v>
      </c>
      <c r="J53" s="9">
        <f t="shared" si="3"/>
        <v>95874.705154638155</v>
      </c>
      <c r="K53" s="12">
        <f t="shared" si="1"/>
        <v>2396867.628865954</v>
      </c>
      <c r="L53" s="18">
        <f t="shared" si="13"/>
        <v>77122.980958456508</v>
      </c>
      <c r="M53" s="18">
        <f t="shared" si="7"/>
        <v>-18751.724196181647</v>
      </c>
    </row>
    <row r="54" spans="4:13" x14ac:dyDescent="0.25">
      <c r="D54" s="17">
        <v>38</v>
      </c>
      <c r="E54" s="3">
        <f t="shared" si="10"/>
        <v>398413.0680703703</v>
      </c>
      <c r="F54" s="3"/>
      <c r="G54" s="3"/>
      <c r="H54" s="3">
        <f t="shared" si="11"/>
        <v>2296664.9453994362</v>
      </c>
      <c r="I54" s="4">
        <f t="shared" si="0"/>
        <v>2695078.0134698064</v>
      </c>
      <c r="J54" s="3">
        <f t="shared" si="3"/>
        <v>97792.199257730914</v>
      </c>
      <c r="K54" s="4">
        <f t="shared" si="1"/>
        <v>2444804.9814432729</v>
      </c>
      <c r="L54" s="18">
        <f t="shared" si="13"/>
        <v>78665.440577625646</v>
      </c>
      <c r="M54" s="18">
        <f t="shared" si="7"/>
        <v>-19126.758680105268</v>
      </c>
    </row>
    <row r="55" spans="4:13" x14ac:dyDescent="0.25">
      <c r="D55" s="17">
        <v>39</v>
      </c>
      <c r="E55" s="3">
        <f t="shared" si="10"/>
        <v>326553.93959241069</v>
      </c>
      <c r="F55" s="3"/>
      <c r="G55" s="3"/>
      <c r="H55" s="3">
        <f t="shared" si="11"/>
        <v>2457431.4915773966</v>
      </c>
      <c r="I55" s="4">
        <f t="shared" si="0"/>
        <v>2783985.4311698074</v>
      </c>
      <c r="J55" s="3">
        <f t="shared" si="3"/>
        <v>99748.043242885527</v>
      </c>
      <c r="K55" s="4">
        <f t="shared" si="1"/>
        <v>2493701.0810721382</v>
      </c>
      <c r="L55" s="18">
        <f t="shared" si="13"/>
        <v>80238.749389178163</v>
      </c>
      <c r="M55" s="18">
        <f t="shared" si="7"/>
        <v>-19509.293853707364</v>
      </c>
    </row>
    <row r="56" spans="4:13" x14ac:dyDescent="0.25">
      <c r="D56" s="17">
        <v>40</v>
      </c>
      <c r="E56" s="3">
        <f t="shared" si="10"/>
        <v>247669.71125613622</v>
      </c>
      <c r="F56" s="3"/>
      <c r="G56" s="3"/>
      <c r="H56" s="3">
        <f t="shared" si="11"/>
        <v>2629451.6959878146</v>
      </c>
      <c r="I56" s="4">
        <f t="shared" si="0"/>
        <v>2877121.4072439508</v>
      </c>
      <c r="J56" s="3">
        <f t="shared" si="3"/>
        <v>101743.00410774324</v>
      </c>
      <c r="K56" s="4">
        <f t="shared" si="1"/>
        <v>2543575.102693581</v>
      </c>
      <c r="L56" s="18">
        <f t="shared" si="13"/>
        <v>81843.524376961723</v>
      </c>
      <c r="M56" s="18">
        <f t="shared" si="7"/>
        <v>-19899.479730781517</v>
      </c>
    </row>
    <row r="57" spans="4:13" x14ac:dyDescent="0.25">
      <c r="D57" s="17">
        <v>41</v>
      </c>
      <c r="E57" s="3">
        <f t="shared" si="10"/>
        <v>161228.72685416767</v>
      </c>
      <c r="F57" s="3"/>
      <c r="G57" s="3"/>
      <c r="H57" s="3">
        <f t="shared" si="11"/>
        <v>2813513.3147069616</v>
      </c>
      <c r="I57" s="4">
        <f t="shared" si="0"/>
        <v>2974742.0415611295</v>
      </c>
      <c r="J57" s="3">
        <f t="shared" si="3"/>
        <v>103777.8641898981</v>
      </c>
      <c r="K57" s="4">
        <f t="shared" si="1"/>
        <v>2594446.6047474523</v>
      </c>
      <c r="L57" s="18">
        <f t="shared" si="13"/>
        <v>83480.394864500966</v>
      </c>
      <c r="M57" s="18">
        <f t="shared" si="7"/>
        <v>-20297.469325397135</v>
      </c>
    </row>
    <row r="58" spans="4:13" x14ac:dyDescent="0.25">
      <c r="D58" s="17">
        <v>42</v>
      </c>
      <c r="E58" s="3">
        <f t="shared" si="10"/>
        <v>66661.316260263353</v>
      </c>
      <c r="F58" s="3"/>
      <c r="G58" s="3"/>
      <c r="H58" s="3">
        <f t="shared" si="11"/>
        <v>3010459.2467364492</v>
      </c>
      <c r="I58" s="4">
        <f t="shared" si="0"/>
        <v>3077120.5629967125</v>
      </c>
      <c r="J58" s="3">
        <f t="shared" si="3"/>
        <v>105853.42147369607</v>
      </c>
      <c r="K58" s="4">
        <f t="shared" si="1"/>
        <v>2646335.5368424016</v>
      </c>
      <c r="L58" s="18">
        <f t="shared" si="13"/>
        <v>85150.00276179098</v>
      </c>
      <c r="M58" s="18">
        <f t="shared" si="7"/>
        <v>-20703.418711905091</v>
      </c>
    </row>
  </sheetData>
  <conditionalFormatting sqref="E16:E58">
    <cfRule type="cellIs" dxfId="9" priority="9" operator="lessThan">
      <formula>0</formula>
    </cfRule>
  </conditionalFormatting>
  <conditionalFormatting sqref="I58">
    <cfRule type="cellIs" dxfId="8" priority="7" operator="lessThan">
      <formula>$K$58</formula>
    </cfRule>
    <cfRule type="cellIs" dxfId="7" priority="8" operator="greaterThan">
      <formula>$K$58</formula>
    </cfRule>
  </conditionalFormatting>
  <conditionalFormatting sqref="I57">
    <cfRule type="cellIs" dxfId="6" priority="5" operator="greaterThan">
      <formula>$K$57</formula>
    </cfRule>
    <cfRule type="cellIs" dxfId="5" priority="6" operator="greaterThan">
      <formula>" $K$57"</formula>
    </cfRule>
  </conditionalFormatting>
  <conditionalFormatting sqref="I56">
    <cfRule type="cellIs" dxfId="4" priority="4" operator="greaterThan">
      <formula>$K$56</formula>
    </cfRule>
  </conditionalFormatting>
  <conditionalFormatting sqref="I55">
    <cfRule type="cellIs" dxfId="3" priority="3" operator="greaterThan">
      <formula>$K$55</formula>
    </cfRule>
  </conditionalFormatting>
  <conditionalFormatting sqref="I54">
    <cfRule type="cellIs" dxfId="2" priority="2" operator="greaterThan">
      <formula>$K$54</formula>
    </cfRule>
  </conditionalFormatting>
  <conditionalFormatting sqref="I53">
    <cfRule type="cellIs" dxfId="1" priority="1" operator="greaterThan">
      <formula>$K$53</formula>
    </cfRule>
  </conditionalFormatting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CDAEB-5A58-4E6A-90E9-ABCAB4A69F8D}">
  <dimension ref="B2:G24"/>
  <sheetViews>
    <sheetView workbookViewId="0">
      <selection activeCell="G3" sqref="G3"/>
    </sheetView>
  </sheetViews>
  <sheetFormatPr defaultRowHeight="15" x14ac:dyDescent="0.25"/>
  <cols>
    <col min="4" max="4" width="17.7109375" customWidth="1"/>
  </cols>
  <sheetData>
    <row r="2" spans="2:7" x14ac:dyDescent="0.25">
      <c r="C2" t="s">
        <v>28</v>
      </c>
      <c r="E2" t="s">
        <v>46</v>
      </c>
      <c r="F2" t="s">
        <v>47</v>
      </c>
      <c r="G2" t="s">
        <v>48</v>
      </c>
    </row>
    <row r="3" spans="2:7" x14ac:dyDescent="0.25">
      <c r="C3" t="s">
        <v>29</v>
      </c>
      <c r="E3" s="19">
        <f>'15 years'!C4</f>
        <v>90000</v>
      </c>
      <c r="F3" s="19">
        <f>'20 years'!C4</f>
        <v>90000</v>
      </c>
      <c r="G3" s="19">
        <f>'Std FIRE'!C4</f>
        <v>100000</v>
      </c>
    </row>
    <row r="4" spans="2:7" x14ac:dyDescent="0.25">
      <c r="B4">
        <v>0</v>
      </c>
      <c r="C4">
        <v>18200</v>
      </c>
      <c r="D4" s="8">
        <v>0</v>
      </c>
      <c r="E4" s="20">
        <v>0</v>
      </c>
      <c r="F4" s="20">
        <v>0</v>
      </c>
      <c r="G4" s="20">
        <v>0</v>
      </c>
    </row>
    <row r="5" spans="2:7" x14ac:dyDescent="0.25">
      <c r="B5">
        <f>C4</f>
        <v>18200</v>
      </c>
      <c r="C5">
        <v>45000</v>
      </c>
      <c r="D5" s="8">
        <v>0.19</v>
      </c>
      <c r="E5" s="20">
        <f t="shared" ref="E5:G6" si="0">IF(E$3&gt;$C5,($C5-$B5)*$D5,MAX((E$3-$B5)*$D5,0))</f>
        <v>5092</v>
      </c>
      <c r="F5" s="20">
        <f t="shared" si="0"/>
        <v>5092</v>
      </c>
      <c r="G5" s="20">
        <f t="shared" si="0"/>
        <v>5092</v>
      </c>
    </row>
    <row r="6" spans="2:7" x14ac:dyDescent="0.25">
      <c r="B6">
        <f>C5</f>
        <v>45000</v>
      </c>
      <c r="C6">
        <v>120000</v>
      </c>
      <c r="D6" s="8">
        <v>0.32500000000000001</v>
      </c>
      <c r="E6" s="20">
        <f t="shared" si="0"/>
        <v>14625</v>
      </c>
      <c r="F6" s="20">
        <f t="shared" si="0"/>
        <v>14625</v>
      </c>
      <c r="G6" s="20">
        <f t="shared" si="0"/>
        <v>17875</v>
      </c>
    </row>
    <row r="7" spans="2:7" x14ac:dyDescent="0.25">
      <c r="B7">
        <f>C6</f>
        <v>120000</v>
      </c>
      <c r="C7">
        <v>180000</v>
      </c>
      <c r="D7" s="8">
        <v>0.37</v>
      </c>
      <c r="E7" s="20">
        <f>IF(E$3&gt;$C7,($C7-$B7)*$D7,MAX((E$3-$B7)*$D7,0))</f>
        <v>0</v>
      </c>
      <c r="F7" s="20">
        <f t="shared" ref="F7:G7" si="1">IF(F$3&gt;$C7,$C7*$D7,MAX((F$3-$B7)*$D7,0))</f>
        <v>0</v>
      </c>
      <c r="G7" s="20">
        <f t="shared" si="1"/>
        <v>0</v>
      </c>
    </row>
    <row r="8" spans="2:7" x14ac:dyDescent="0.25">
      <c r="B8">
        <f>C7</f>
        <v>180000</v>
      </c>
      <c r="D8" s="8">
        <v>0.47</v>
      </c>
      <c r="E8" s="20">
        <f>IF(E$3&gt;$B8,(E$3-$B8)*$D8,0)</f>
        <v>0</v>
      </c>
      <c r="F8" s="20">
        <f>IF(F$3&gt;$B8,(F$3-$B8)*$D8,0)</f>
        <v>0</v>
      </c>
      <c r="G8" s="20">
        <f>IF(G$3&gt;$B8,(G$3-$B8)*$D8,0)</f>
        <v>0</v>
      </c>
    </row>
    <row r="9" spans="2:7" x14ac:dyDescent="0.25">
      <c r="C9" t="s">
        <v>30</v>
      </c>
      <c r="D9" s="8">
        <v>0.02</v>
      </c>
      <c r="E9" s="20">
        <f t="shared" ref="E9" si="2">E3*$D$9</f>
        <v>1800</v>
      </c>
      <c r="F9" s="20">
        <f t="shared" ref="F9:G9" si="3">F3*$D$9</f>
        <v>1800</v>
      </c>
      <c r="G9" s="20">
        <f t="shared" si="3"/>
        <v>2000</v>
      </c>
    </row>
    <row r="10" spans="2:7" x14ac:dyDescent="0.25">
      <c r="E10" s="20"/>
      <c r="F10" s="20"/>
      <c r="G10" s="20"/>
    </row>
    <row r="11" spans="2:7" x14ac:dyDescent="0.25">
      <c r="C11" t="s">
        <v>35</v>
      </c>
      <c r="E11" s="20">
        <f t="shared" ref="E11" si="4">SUM(E4:E9)</f>
        <v>21517</v>
      </c>
      <c r="F11" s="20">
        <f t="shared" ref="F11:G11" si="5">SUM(F4:F9)</f>
        <v>21517</v>
      </c>
      <c r="G11" s="20">
        <f t="shared" si="5"/>
        <v>24967</v>
      </c>
    </row>
    <row r="12" spans="2:7" x14ac:dyDescent="0.25">
      <c r="C12" t="s">
        <v>31</v>
      </c>
      <c r="E12" s="21">
        <f t="shared" ref="E12" si="6">E3-E11</f>
        <v>68483</v>
      </c>
      <c r="F12" s="21">
        <f t="shared" ref="F12:G12" si="7">F3-F11</f>
        <v>68483</v>
      </c>
      <c r="G12" s="21">
        <f t="shared" si="7"/>
        <v>75033</v>
      </c>
    </row>
    <row r="14" spans="2:7" x14ac:dyDescent="0.25">
      <c r="C14" t="s">
        <v>32</v>
      </c>
    </row>
    <row r="15" spans="2:7" x14ac:dyDescent="0.25">
      <c r="C15" t="s">
        <v>33</v>
      </c>
      <c r="E15" s="19">
        <v>180000</v>
      </c>
      <c r="F15" s="19">
        <v>180000</v>
      </c>
      <c r="G15" s="19">
        <v>180000</v>
      </c>
    </row>
    <row r="16" spans="2:7" x14ac:dyDescent="0.25">
      <c r="C16" t="s">
        <v>34</v>
      </c>
      <c r="E16" s="20">
        <v>90000</v>
      </c>
      <c r="F16" s="20">
        <v>90000</v>
      </c>
      <c r="G16" s="20">
        <v>90000</v>
      </c>
    </row>
    <row r="17" spans="2:7" x14ac:dyDescent="0.25">
      <c r="B17">
        <v>0</v>
      </c>
      <c r="C17">
        <v>18200</v>
      </c>
      <c r="D17" s="1">
        <v>0</v>
      </c>
      <c r="E17" s="20">
        <f t="shared" ref="E17:G17" si="8">IF(E$3&gt;$C17,$C17*$D17,MAX((E$3-$B17)*$D17,0))</f>
        <v>0</v>
      </c>
      <c r="F17" s="20">
        <f t="shared" si="8"/>
        <v>0</v>
      </c>
      <c r="G17" s="20">
        <f t="shared" si="8"/>
        <v>0</v>
      </c>
    </row>
    <row r="18" spans="2:7" x14ac:dyDescent="0.25">
      <c r="B18">
        <v>18200</v>
      </c>
      <c r="C18">
        <v>45000</v>
      </c>
      <c r="D18" s="1">
        <v>0.1</v>
      </c>
      <c r="E18" s="20">
        <f t="shared" ref="E18:G20" si="9">IF(E$3&gt;$C18,$C18*$D18,MAX((E$3-$B18)*$D18,0))</f>
        <v>4500</v>
      </c>
      <c r="F18" s="20">
        <f t="shared" si="9"/>
        <v>4500</v>
      </c>
      <c r="G18" s="20">
        <f t="shared" si="9"/>
        <v>4500</v>
      </c>
    </row>
    <row r="19" spans="2:7" x14ac:dyDescent="0.25">
      <c r="B19">
        <v>45000</v>
      </c>
      <c r="C19">
        <v>120000</v>
      </c>
      <c r="D19" s="1">
        <v>0.37</v>
      </c>
      <c r="E19" s="20">
        <f t="shared" si="9"/>
        <v>16650</v>
      </c>
      <c r="F19" s="20">
        <f t="shared" si="9"/>
        <v>16650</v>
      </c>
      <c r="G19" s="20">
        <f t="shared" si="9"/>
        <v>20350</v>
      </c>
    </row>
    <row r="20" spans="2:7" x14ac:dyDescent="0.25">
      <c r="B20">
        <v>120000</v>
      </c>
      <c r="C20">
        <v>180000</v>
      </c>
      <c r="D20" s="1">
        <v>0.47</v>
      </c>
      <c r="E20" s="20">
        <f t="shared" si="9"/>
        <v>0</v>
      </c>
      <c r="F20" s="20">
        <f t="shared" si="9"/>
        <v>0</v>
      </c>
      <c r="G20" s="20">
        <f t="shared" si="9"/>
        <v>0</v>
      </c>
    </row>
    <row r="21" spans="2:7" x14ac:dyDescent="0.25">
      <c r="C21" t="s">
        <v>30</v>
      </c>
      <c r="D21" s="8">
        <v>0.02</v>
      </c>
      <c r="E21" s="20">
        <f t="shared" ref="E21" si="10">E16*$D$9</f>
        <v>1800</v>
      </c>
      <c r="F21" s="20">
        <f t="shared" ref="F21:G21" si="11">F16*$D$9</f>
        <v>1800</v>
      </c>
      <c r="G21" s="20">
        <f t="shared" si="11"/>
        <v>1800</v>
      </c>
    </row>
    <row r="22" spans="2:7" x14ac:dyDescent="0.25">
      <c r="E22" s="20"/>
      <c r="F22" s="20"/>
      <c r="G22" s="20"/>
    </row>
    <row r="23" spans="2:7" x14ac:dyDescent="0.25">
      <c r="E23" s="20">
        <f t="shared" ref="E23" si="12">SUM(E17:E21)</f>
        <v>22950</v>
      </c>
      <c r="F23" s="20">
        <f t="shared" ref="F23:G23" si="13">SUM(F17:F21)</f>
        <v>22950</v>
      </c>
      <c r="G23" s="20">
        <f t="shared" si="13"/>
        <v>26650</v>
      </c>
    </row>
    <row r="24" spans="2:7" x14ac:dyDescent="0.25">
      <c r="C24" t="s">
        <v>31</v>
      </c>
      <c r="E24" s="21">
        <f t="shared" ref="E24" si="14">E16-E23</f>
        <v>67050</v>
      </c>
      <c r="F24" s="21">
        <f t="shared" ref="F24:G24" si="15">F16-F23</f>
        <v>67050</v>
      </c>
      <c r="G24" s="21">
        <f t="shared" si="15"/>
        <v>63350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0D1BE-54D9-468A-A255-A84D53EFD778}">
  <dimension ref="B2:L58"/>
  <sheetViews>
    <sheetView workbookViewId="0">
      <selection activeCell="C8" sqref="C8"/>
    </sheetView>
  </sheetViews>
  <sheetFormatPr defaultRowHeight="15" x14ac:dyDescent="0.25"/>
  <cols>
    <col min="1" max="1" width="2.85546875" customWidth="1"/>
    <col min="2" max="2" width="31.7109375" customWidth="1"/>
    <col min="3" max="3" width="13.42578125" bestFit="1" customWidth="1"/>
    <col min="4" max="4" width="7.7109375" customWidth="1"/>
    <col min="5" max="5" width="12.42578125" customWidth="1"/>
    <col min="6" max="6" width="16.140625" customWidth="1"/>
    <col min="7" max="7" width="14" customWidth="1"/>
    <col min="8" max="8" width="12.5703125" customWidth="1"/>
    <col min="9" max="9" width="13.28515625" customWidth="1"/>
    <col min="10" max="10" width="18.140625" customWidth="1"/>
    <col min="11" max="11" width="11.5703125" hidden="1" customWidth="1"/>
    <col min="12" max="12" width="16" hidden="1" customWidth="1"/>
  </cols>
  <sheetData>
    <row r="2" spans="2:12" x14ac:dyDescent="0.25">
      <c r="B2" t="s">
        <v>0</v>
      </c>
      <c r="C2" s="3">
        <v>100000</v>
      </c>
      <c r="E2" s="6" t="s">
        <v>38</v>
      </c>
    </row>
    <row r="3" spans="2:12" x14ac:dyDescent="0.25">
      <c r="B3" t="s">
        <v>2</v>
      </c>
      <c r="C3" s="3">
        <v>0</v>
      </c>
      <c r="E3" t="s">
        <v>26</v>
      </c>
    </row>
    <row r="4" spans="2:12" x14ac:dyDescent="0.25">
      <c r="B4" t="s">
        <v>1</v>
      </c>
      <c r="C4" s="6">
        <f>C2-C3</f>
        <v>100000</v>
      </c>
      <c r="E4" t="s">
        <v>27</v>
      </c>
    </row>
    <row r="5" spans="2:12" x14ac:dyDescent="0.25">
      <c r="B5" t="s">
        <v>3</v>
      </c>
      <c r="C5" s="6">
        <f>'Tax Calcs'!G11</f>
        <v>24967</v>
      </c>
      <c r="E5" t="s">
        <v>37</v>
      </c>
    </row>
    <row r="6" spans="2:12" x14ac:dyDescent="0.25">
      <c r="B6" t="s">
        <v>4</v>
      </c>
      <c r="C6" s="6">
        <f>C4-C5</f>
        <v>75033</v>
      </c>
      <c r="E6" t="s">
        <v>39</v>
      </c>
    </row>
    <row r="7" spans="2:12" x14ac:dyDescent="0.25">
      <c r="B7" t="s">
        <v>5</v>
      </c>
      <c r="C7" s="3">
        <v>35000</v>
      </c>
      <c r="E7" t="s">
        <v>45</v>
      </c>
    </row>
    <row r="8" spans="2:12" x14ac:dyDescent="0.25">
      <c r="B8" t="s">
        <v>6</v>
      </c>
      <c r="C8" s="6">
        <f>C6-C7</f>
        <v>40033</v>
      </c>
    </row>
    <row r="9" spans="2:12" x14ac:dyDescent="0.25">
      <c r="B9" t="s">
        <v>7</v>
      </c>
      <c r="C9" s="7">
        <f>C8/C6</f>
        <v>0.53353857635973501</v>
      </c>
    </row>
    <row r="10" spans="2:12" x14ac:dyDescent="0.25">
      <c r="B10" t="s">
        <v>9</v>
      </c>
      <c r="C10" s="8">
        <v>7.0000000000000007E-2</v>
      </c>
    </row>
    <row r="11" spans="2:12" x14ac:dyDescent="0.25">
      <c r="B11" t="s">
        <v>12</v>
      </c>
      <c r="C11" s="1">
        <v>0.04</v>
      </c>
    </row>
    <row r="12" spans="2:12" x14ac:dyDescent="0.25">
      <c r="B12" t="s">
        <v>18</v>
      </c>
      <c r="C12" s="1">
        <v>0.02</v>
      </c>
    </row>
    <row r="13" spans="2:12" x14ac:dyDescent="0.25">
      <c r="B13" t="s">
        <v>13</v>
      </c>
      <c r="C13" s="2">
        <v>15</v>
      </c>
    </row>
    <row r="15" spans="2:12" ht="37.5" customHeight="1" x14ac:dyDescent="0.25">
      <c r="D15" s="13" t="s">
        <v>8</v>
      </c>
      <c r="E15" s="14" t="s">
        <v>10</v>
      </c>
      <c r="F15" s="14" t="s">
        <v>36</v>
      </c>
      <c r="G15" s="14" t="s">
        <v>11</v>
      </c>
      <c r="H15" s="14" t="s">
        <v>44</v>
      </c>
      <c r="I15" s="14" t="s">
        <v>5</v>
      </c>
      <c r="J15" s="16" t="s">
        <v>43</v>
      </c>
      <c r="K15" s="15" t="s">
        <v>40</v>
      </c>
      <c r="L15" s="15" t="s">
        <v>41</v>
      </c>
    </row>
    <row r="16" spans="2:12" x14ac:dyDescent="0.25">
      <c r="D16" s="17">
        <v>0</v>
      </c>
      <c r="E16" s="3">
        <v>0</v>
      </c>
      <c r="F16" s="3">
        <v>0</v>
      </c>
      <c r="G16" s="3">
        <v>0</v>
      </c>
      <c r="H16" s="4">
        <f t="shared" ref="H16:H58" si="0">E16+G16</f>
        <v>0</v>
      </c>
      <c r="I16" s="3">
        <v>0</v>
      </c>
      <c r="J16" s="4">
        <f>I16/$C$11</f>
        <v>0</v>
      </c>
      <c r="K16" s="4"/>
    </row>
    <row r="17" spans="4:12" x14ac:dyDescent="0.25">
      <c r="D17" s="17">
        <v>1</v>
      </c>
      <c r="E17" s="3">
        <f t="shared" ref="E17:E58" si="1">E16*(1+$C$10)+F17</f>
        <v>40033</v>
      </c>
      <c r="F17" s="3">
        <f>$C$8</f>
        <v>40033</v>
      </c>
      <c r="G17" s="3">
        <f>G16*(1+$C$10)+$C$2*0.095+$C$3*0.85</f>
        <v>9500</v>
      </c>
      <c r="H17" s="4">
        <f t="shared" si="0"/>
        <v>49533</v>
      </c>
      <c r="I17" s="3">
        <f>$C$7</f>
        <v>35000</v>
      </c>
      <c r="J17" s="4">
        <f t="shared" ref="J17:J29" si="2">I17/$C$11</f>
        <v>875000</v>
      </c>
      <c r="K17" s="4">
        <f>$C$6</f>
        <v>75033</v>
      </c>
      <c r="L17" s="18">
        <f>K17-I17-F17</f>
        <v>0</v>
      </c>
    </row>
    <row r="18" spans="4:12" x14ac:dyDescent="0.25">
      <c r="D18" s="17">
        <v>2</v>
      </c>
      <c r="E18" s="3">
        <f t="shared" si="1"/>
        <v>83668.97</v>
      </c>
      <c r="F18" s="3">
        <f>F17*(1+$C$12)</f>
        <v>40833.660000000003</v>
      </c>
      <c r="G18" s="3">
        <f t="shared" ref="G18:G58" si="3">G17*(1+$C$10)+$C$2*0.095+$C$3*0.85</f>
        <v>19665</v>
      </c>
      <c r="H18" s="4">
        <f t="shared" si="0"/>
        <v>103333.97</v>
      </c>
      <c r="I18" s="3">
        <f t="shared" ref="I18:I58" si="4">I17*(1+$C$12)</f>
        <v>35700</v>
      </c>
      <c r="J18" s="4">
        <f t="shared" si="2"/>
        <v>892500</v>
      </c>
      <c r="K18" s="18">
        <f>K17*1.02</f>
        <v>76533.66</v>
      </c>
      <c r="L18" s="18">
        <f>K18-I18-F18</f>
        <v>0</v>
      </c>
    </row>
    <row r="19" spans="4:12" x14ac:dyDescent="0.25">
      <c r="D19" s="17">
        <v>3</v>
      </c>
      <c r="E19" s="3">
        <f t="shared" si="1"/>
        <v>131176.1311</v>
      </c>
      <c r="F19" s="3">
        <f t="shared" ref="F19:F58" si="5">F18*(1+$C$12)</f>
        <v>41650.333200000001</v>
      </c>
      <c r="G19" s="3">
        <f t="shared" si="3"/>
        <v>30541.550000000003</v>
      </c>
      <c r="H19" s="4">
        <f t="shared" si="0"/>
        <v>161717.68109999999</v>
      </c>
      <c r="I19" s="3">
        <f t="shared" si="4"/>
        <v>36414</v>
      </c>
      <c r="J19" s="4">
        <f t="shared" si="2"/>
        <v>910350</v>
      </c>
      <c r="K19" s="18">
        <f t="shared" ref="K19:K31" si="6">K18*1.02</f>
        <v>78064.333200000008</v>
      </c>
      <c r="L19" s="18">
        <f t="shared" ref="L19:L58" si="7">K19-I19-F19</f>
        <v>0</v>
      </c>
    </row>
    <row r="20" spans="4:12" x14ac:dyDescent="0.25">
      <c r="D20" s="17">
        <v>4</v>
      </c>
      <c r="E20" s="3">
        <f t="shared" si="1"/>
        <v>182841.80014100001</v>
      </c>
      <c r="F20" s="3">
        <f t="shared" si="5"/>
        <v>42483.339864000001</v>
      </c>
      <c r="G20" s="3">
        <f t="shared" si="3"/>
        <v>42179.458500000008</v>
      </c>
      <c r="H20" s="4">
        <f t="shared" si="0"/>
        <v>225021.25864100002</v>
      </c>
      <c r="I20" s="3">
        <f t="shared" si="4"/>
        <v>37142.28</v>
      </c>
      <c r="J20" s="4">
        <f t="shared" si="2"/>
        <v>928557</v>
      </c>
      <c r="K20" s="18">
        <f t="shared" si="6"/>
        <v>79625.619864000008</v>
      </c>
      <c r="L20" s="18">
        <f t="shared" si="7"/>
        <v>0</v>
      </c>
    </row>
    <row r="21" spans="4:12" x14ac:dyDescent="0.25">
      <c r="D21" s="17">
        <v>5</v>
      </c>
      <c r="E21" s="3">
        <f t="shared" si="1"/>
        <v>238973.73281215003</v>
      </c>
      <c r="F21" s="3">
        <f t="shared" si="5"/>
        <v>43333.00666128</v>
      </c>
      <c r="G21" s="3">
        <f t="shared" si="3"/>
        <v>54632.020595000009</v>
      </c>
      <c r="H21" s="4">
        <f t="shared" si="0"/>
        <v>293605.75340715004</v>
      </c>
      <c r="I21" s="3">
        <f t="shared" si="4"/>
        <v>37885.125599999999</v>
      </c>
      <c r="J21" s="4">
        <f t="shared" si="2"/>
        <v>947128.14</v>
      </c>
      <c r="K21" s="18">
        <f t="shared" si="6"/>
        <v>81218.132261280014</v>
      </c>
      <c r="L21" s="18">
        <f t="shared" si="7"/>
        <v>0</v>
      </c>
    </row>
    <row r="22" spans="4:12" x14ac:dyDescent="0.25">
      <c r="D22" s="17">
        <v>6</v>
      </c>
      <c r="E22" s="3">
        <f t="shared" si="1"/>
        <v>299901.56090350612</v>
      </c>
      <c r="F22" s="3">
        <f t="shared" si="5"/>
        <v>44199.666794505603</v>
      </c>
      <c r="G22" s="3">
        <f t="shared" si="3"/>
        <v>67956.262036650005</v>
      </c>
      <c r="H22" s="4">
        <f t="shared" si="0"/>
        <v>367857.8229401561</v>
      </c>
      <c r="I22" s="3">
        <f t="shared" si="4"/>
        <v>38642.828112000003</v>
      </c>
      <c r="J22" s="4">
        <f t="shared" si="2"/>
        <v>966070.70280000009</v>
      </c>
      <c r="K22" s="18">
        <f t="shared" si="6"/>
        <v>82842.494906505613</v>
      </c>
      <c r="L22" s="18">
        <f t="shared" si="7"/>
        <v>0</v>
      </c>
    </row>
    <row r="23" spans="4:12" x14ac:dyDescent="0.25">
      <c r="D23" s="17">
        <v>7</v>
      </c>
      <c r="E23" s="3">
        <f t="shared" si="1"/>
        <v>365978.33029714727</v>
      </c>
      <c r="F23" s="3">
        <f t="shared" si="5"/>
        <v>45083.660130395714</v>
      </c>
      <c r="G23" s="3">
        <f t="shared" si="3"/>
        <v>82213.200379215516</v>
      </c>
      <c r="H23" s="4">
        <f t="shared" si="0"/>
        <v>448191.5306763628</v>
      </c>
      <c r="I23" s="3">
        <f t="shared" si="4"/>
        <v>39415.684674240001</v>
      </c>
      <c r="J23" s="4">
        <f t="shared" si="2"/>
        <v>985392.11685600004</v>
      </c>
      <c r="K23" s="18">
        <f t="shared" si="6"/>
        <v>84499.344804635723</v>
      </c>
      <c r="L23" s="18">
        <f t="shared" si="7"/>
        <v>0</v>
      </c>
    </row>
    <row r="24" spans="4:12" x14ac:dyDescent="0.25">
      <c r="D24" s="17">
        <v>8</v>
      </c>
      <c r="E24" s="3">
        <f t="shared" si="1"/>
        <v>437582.14675095124</v>
      </c>
      <c r="F24" s="3">
        <f t="shared" si="5"/>
        <v>45985.333333003626</v>
      </c>
      <c r="G24" s="3">
        <f t="shared" si="3"/>
        <v>97468.124405760609</v>
      </c>
      <c r="H24" s="4">
        <f t="shared" si="0"/>
        <v>535050.27115671185</v>
      </c>
      <c r="I24" s="3">
        <f t="shared" si="4"/>
        <v>40203.998367724802</v>
      </c>
      <c r="J24" s="4">
        <f t="shared" si="2"/>
        <v>1005099.95919312</v>
      </c>
      <c r="K24" s="18">
        <f t="shared" si="6"/>
        <v>86189.331700728435</v>
      </c>
      <c r="L24" s="18">
        <f t="shared" si="7"/>
        <v>0</v>
      </c>
    </row>
    <row r="25" spans="4:12" x14ac:dyDescent="0.25">
      <c r="D25" s="17">
        <v>9</v>
      </c>
      <c r="E25" s="3">
        <f t="shared" si="1"/>
        <v>515117.93702318158</v>
      </c>
      <c r="F25" s="3">
        <f t="shared" si="5"/>
        <v>46905.039999663699</v>
      </c>
      <c r="G25" s="3">
        <f t="shared" si="3"/>
        <v>113790.89311416386</v>
      </c>
      <c r="H25" s="4">
        <f t="shared" si="0"/>
        <v>628908.83013734547</v>
      </c>
      <c r="I25" s="3">
        <f t="shared" si="4"/>
        <v>41008.078335079299</v>
      </c>
      <c r="J25" s="4">
        <f t="shared" si="2"/>
        <v>1025201.9583769825</v>
      </c>
      <c r="K25" s="18">
        <f t="shared" si="6"/>
        <v>87913.118334743005</v>
      </c>
      <c r="L25" s="18">
        <f t="shared" si="7"/>
        <v>0</v>
      </c>
    </row>
    <row r="26" spans="4:12" x14ac:dyDescent="0.25">
      <c r="D26" s="17">
        <v>10</v>
      </c>
      <c r="E26" s="3">
        <f t="shared" si="1"/>
        <v>599019.33341446135</v>
      </c>
      <c r="F26" s="3">
        <f t="shared" si="5"/>
        <v>47843.140799656976</v>
      </c>
      <c r="G26" s="3">
        <f t="shared" si="3"/>
        <v>131256.25563215534</v>
      </c>
      <c r="H26" s="4">
        <f t="shared" si="0"/>
        <v>730275.58904661669</v>
      </c>
      <c r="I26" s="3">
        <f t="shared" si="4"/>
        <v>41828.239901780886</v>
      </c>
      <c r="J26" s="4">
        <f t="shared" si="2"/>
        <v>1045705.9975445222</v>
      </c>
      <c r="K26" s="18">
        <f t="shared" si="6"/>
        <v>89671.380701437869</v>
      </c>
      <c r="L26" s="18">
        <f t="shared" si="7"/>
        <v>0</v>
      </c>
    </row>
    <row r="27" spans="4:12" x14ac:dyDescent="0.25">
      <c r="D27" s="17">
        <v>11</v>
      </c>
      <c r="E27" s="3">
        <f t="shared" si="1"/>
        <v>689750.69036912383</v>
      </c>
      <c r="F27" s="3">
        <f t="shared" si="5"/>
        <v>48800.003615650116</v>
      </c>
      <c r="G27" s="3">
        <f t="shared" si="3"/>
        <v>149944.19352640622</v>
      </c>
      <c r="H27" s="4">
        <f t="shared" si="0"/>
        <v>839694.88389553002</v>
      </c>
      <c r="I27" s="3">
        <f t="shared" si="4"/>
        <v>42664.804699816501</v>
      </c>
      <c r="J27" s="4">
        <f t="shared" si="2"/>
        <v>1066620.1174954125</v>
      </c>
      <c r="K27" s="18">
        <f t="shared" si="6"/>
        <v>91464.808315466624</v>
      </c>
      <c r="L27" s="18">
        <f t="shared" si="7"/>
        <v>0</v>
      </c>
    </row>
    <row r="28" spans="4:12" x14ac:dyDescent="0.25">
      <c r="D28" s="17">
        <v>12</v>
      </c>
      <c r="E28" s="3">
        <f t="shared" si="1"/>
        <v>787809.2423829257</v>
      </c>
      <c r="F28" s="3">
        <f t="shared" si="5"/>
        <v>49776.003687963115</v>
      </c>
      <c r="G28" s="3">
        <f t="shared" si="3"/>
        <v>169940.28707325467</v>
      </c>
      <c r="H28" s="4">
        <f t="shared" si="0"/>
        <v>957749.5294561804</v>
      </c>
      <c r="I28" s="3">
        <f t="shared" si="4"/>
        <v>43518.100793812831</v>
      </c>
      <c r="J28" s="4">
        <f t="shared" si="2"/>
        <v>1087952.5198453208</v>
      </c>
      <c r="K28" s="18">
        <f t="shared" si="6"/>
        <v>93294.104481775954</v>
      </c>
      <c r="L28" s="18">
        <f t="shared" si="7"/>
        <v>0</v>
      </c>
    </row>
    <row r="29" spans="4:12" x14ac:dyDescent="0.25">
      <c r="D29" s="17">
        <v>13</v>
      </c>
      <c r="E29" s="3">
        <f t="shared" si="1"/>
        <v>893727.41311145294</v>
      </c>
      <c r="F29" s="3">
        <f t="shared" si="5"/>
        <v>50771.523761722376</v>
      </c>
      <c r="G29" s="3">
        <f t="shared" si="3"/>
        <v>191336.1071683825</v>
      </c>
      <c r="H29" s="4">
        <f t="shared" si="0"/>
        <v>1085063.5202798354</v>
      </c>
      <c r="I29" s="3">
        <f t="shared" si="4"/>
        <v>44388.462809689088</v>
      </c>
      <c r="J29" s="4">
        <f t="shared" si="2"/>
        <v>1109711.5702422273</v>
      </c>
      <c r="K29" s="18">
        <f t="shared" si="6"/>
        <v>95159.986571411471</v>
      </c>
      <c r="L29" s="18">
        <f t="shared" si="7"/>
        <v>0</v>
      </c>
    </row>
    <row r="30" spans="4:12" x14ac:dyDescent="0.25">
      <c r="D30" s="17">
        <v>14</v>
      </c>
      <c r="E30" s="3">
        <f t="shared" si="1"/>
        <v>1008075.2862662115</v>
      </c>
      <c r="F30" s="3">
        <f t="shared" si="5"/>
        <v>51786.954236956823</v>
      </c>
      <c r="G30" s="3">
        <f t="shared" si="3"/>
        <v>214229.6346701693</v>
      </c>
      <c r="H30" s="4">
        <f t="shared" si="0"/>
        <v>1222304.9209363807</v>
      </c>
      <c r="I30" s="3">
        <f t="shared" si="4"/>
        <v>45276.232065882868</v>
      </c>
      <c r="J30" s="4">
        <f t="shared" ref="J30:J58" si="8">I30/$C$11</f>
        <v>1131905.8016470717</v>
      </c>
      <c r="K30" s="18">
        <f t="shared" si="6"/>
        <v>97063.186302839706</v>
      </c>
      <c r="L30" s="18">
        <f t="shared" si="7"/>
        <v>0</v>
      </c>
    </row>
    <row r="31" spans="4:12" x14ac:dyDescent="0.25">
      <c r="D31" s="17">
        <v>15</v>
      </c>
      <c r="E31" s="3">
        <f t="shared" si="1"/>
        <v>1131463.2496265424</v>
      </c>
      <c r="F31" s="3">
        <f t="shared" si="5"/>
        <v>52822.693321695959</v>
      </c>
      <c r="G31" s="3">
        <f t="shared" si="3"/>
        <v>238725.70909708116</v>
      </c>
      <c r="H31" s="4">
        <f t="shared" si="0"/>
        <v>1370188.9587236235</v>
      </c>
      <c r="I31" s="3">
        <f t="shared" si="4"/>
        <v>46181.756707200526</v>
      </c>
      <c r="J31" s="4">
        <f t="shared" si="8"/>
        <v>1154543.9176800132</v>
      </c>
      <c r="K31" s="18">
        <f t="shared" si="6"/>
        <v>99004.450028896506</v>
      </c>
      <c r="L31" s="18">
        <f t="shared" si="7"/>
        <v>0</v>
      </c>
    </row>
    <row r="32" spans="4:12" x14ac:dyDescent="0.25">
      <c r="D32" s="17">
        <v>16</v>
      </c>
      <c r="E32" s="3">
        <f t="shared" si="1"/>
        <v>1264544.8242885303</v>
      </c>
      <c r="F32" s="3">
        <f t="shared" si="5"/>
        <v>53879.147188129878</v>
      </c>
      <c r="G32" s="3">
        <f t="shared" si="3"/>
        <v>264936.50873387686</v>
      </c>
      <c r="H32" s="4">
        <f t="shared" si="0"/>
        <v>1529481.3330224073</v>
      </c>
      <c r="I32" s="3">
        <f t="shared" si="4"/>
        <v>47105.391841344535</v>
      </c>
      <c r="J32" s="4">
        <f t="shared" si="8"/>
        <v>1177634.7960336134</v>
      </c>
      <c r="K32" s="4">
        <f t="shared" ref="K32" si="9">$C$6</f>
        <v>75033</v>
      </c>
      <c r="L32" s="18">
        <f t="shared" si="7"/>
        <v>-25951.539029474414</v>
      </c>
    </row>
    <row r="33" spans="4:12" x14ac:dyDescent="0.25">
      <c r="D33" s="17">
        <v>17</v>
      </c>
      <c r="E33" s="3">
        <f t="shared" si="1"/>
        <v>1408019.69212062</v>
      </c>
      <c r="F33" s="3">
        <f t="shared" si="5"/>
        <v>54956.73013189248</v>
      </c>
      <c r="G33" s="3">
        <f t="shared" si="3"/>
        <v>292982.06434524828</v>
      </c>
      <c r="H33" s="4">
        <f t="shared" si="0"/>
        <v>1701001.7564658683</v>
      </c>
      <c r="I33" s="3">
        <f t="shared" si="4"/>
        <v>48047.499678171429</v>
      </c>
      <c r="J33" s="4">
        <f t="shared" si="8"/>
        <v>1201187.4919542857</v>
      </c>
      <c r="K33" s="18">
        <f t="shared" ref="K33:K46" si="10">K32*1.02</f>
        <v>76533.66</v>
      </c>
      <c r="L33" s="18">
        <f t="shared" si="7"/>
        <v>-26470.569810063906</v>
      </c>
    </row>
    <row r="34" spans="4:12" x14ac:dyDescent="0.25">
      <c r="D34" s="17">
        <v>18</v>
      </c>
      <c r="E34" s="3">
        <f t="shared" si="1"/>
        <v>1562636.935303594</v>
      </c>
      <c r="F34" s="3">
        <f t="shared" si="5"/>
        <v>56055.864734530332</v>
      </c>
      <c r="G34" s="3">
        <f t="shared" si="3"/>
        <v>322990.80884941568</v>
      </c>
      <c r="H34" s="4">
        <f t="shared" si="0"/>
        <v>1885627.7441530097</v>
      </c>
      <c r="I34" s="3">
        <f t="shared" si="4"/>
        <v>49008.449671734859</v>
      </c>
      <c r="J34" s="4">
        <f t="shared" si="8"/>
        <v>1225211.2417933715</v>
      </c>
      <c r="K34" s="18">
        <f t="shared" si="10"/>
        <v>78064.333200000008</v>
      </c>
      <c r="L34" s="18">
        <f t="shared" si="7"/>
        <v>-26999.981206265184</v>
      </c>
    </row>
    <row r="35" spans="4:12" x14ac:dyDescent="0.25">
      <c r="D35" s="17">
        <v>19</v>
      </c>
      <c r="E35" s="3">
        <f t="shared" si="1"/>
        <v>1729198.5028040668</v>
      </c>
      <c r="F35" s="3">
        <f t="shared" si="5"/>
        <v>57176.982029220941</v>
      </c>
      <c r="G35" s="3">
        <f t="shared" si="3"/>
        <v>355100.16546887479</v>
      </c>
      <c r="H35" s="4">
        <f t="shared" si="0"/>
        <v>2084298.6682729416</v>
      </c>
      <c r="I35" s="3">
        <f t="shared" si="4"/>
        <v>49988.618665169561</v>
      </c>
      <c r="J35" s="4">
        <f t="shared" si="8"/>
        <v>1249715.466629239</v>
      </c>
      <c r="K35" s="18">
        <f t="shared" si="10"/>
        <v>79625.619864000008</v>
      </c>
      <c r="L35" s="18">
        <f t="shared" si="7"/>
        <v>-27539.980830390494</v>
      </c>
    </row>
    <row r="36" spans="4:12" x14ac:dyDescent="0.25">
      <c r="D36" s="17">
        <v>20</v>
      </c>
      <c r="E36" s="3">
        <f t="shared" si="1"/>
        <v>1908562.9196701569</v>
      </c>
      <c r="F36" s="3">
        <f t="shared" si="5"/>
        <v>58320.521669805363</v>
      </c>
      <c r="G36" s="3">
        <f t="shared" si="3"/>
        <v>389457.17705169605</v>
      </c>
      <c r="H36" s="4">
        <f t="shared" si="0"/>
        <v>2298020.0967218531</v>
      </c>
      <c r="I36" s="3">
        <f t="shared" si="4"/>
        <v>50988.391038472953</v>
      </c>
      <c r="J36" s="4">
        <f t="shared" si="8"/>
        <v>1274709.7759618238</v>
      </c>
      <c r="K36" s="18">
        <f t="shared" si="10"/>
        <v>81218.132261280014</v>
      </c>
      <c r="L36" s="18">
        <f t="shared" si="7"/>
        <v>-28090.780446998302</v>
      </c>
    </row>
    <row r="37" spans="4:12" x14ac:dyDescent="0.25">
      <c r="D37" s="17">
        <v>21</v>
      </c>
      <c r="E37" s="3">
        <f t="shared" si="1"/>
        <v>2101649.2561502694</v>
      </c>
      <c r="F37" s="3">
        <f t="shared" si="5"/>
        <v>59486.93210320147</v>
      </c>
      <c r="G37" s="3">
        <f t="shared" si="3"/>
        <v>426219.1794453148</v>
      </c>
      <c r="H37" s="4">
        <f t="shared" si="0"/>
        <v>2527868.4355955841</v>
      </c>
      <c r="I37" s="3">
        <f t="shared" si="4"/>
        <v>52008.158859242416</v>
      </c>
      <c r="J37" s="4">
        <f t="shared" si="8"/>
        <v>1300203.9714810604</v>
      </c>
      <c r="K37" s="18">
        <f t="shared" si="10"/>
        <v>82842.494906505613</v>
      </c>
      <c r="L37" s="18">
        <f t="shared" si="7"/>
        <v>-28652.596055938273</v>
      </c>
    </row>
    <row r="38" spans="4:12" x14ac:dyDescent="0.25">
      <c r="D38" s="17">
        <v>22</v>
      </c>
      <c r="E38" s="3">
        <f t="shared" si="1"/>
        <v>2309441.3748260541</v>
      </c>
      <c r="F38" s="3">
        <f t="shared" si="5"/>
        <v>60676.670745265503</v>
      </c>
      <c r="G38" s="3">
        <f t="shared" si="3"/>
        <v>465554.52200648689</v>
      </c>
      <c r="H38" s="4">
        <f t="shared" si="0"/>
        <v>2774995.8968325411</v>
      </c>
      <c r="I38" s="3">
        <f t="shared" si="4"/>
        <v>53048.322036427264</v>
      </c>
      <c r="J38" s="4">
        <f t="shared" si="8"/>
        <v>1326208.0509106815</v>
      </c>
      <c r="K38" s="18">
        <f t="shared" si="10"/>
        <v>84499.344804635723</v>
      </c>
      <c r="L38" s="18">
        <f t="shared" si="7"/>
        <v>-29225.647977057044</v>
      </c>
    </row>
    <row r="39" spans="4:12" x14ac:dyDescent="0.25">
      <c r="D39" s="17">
        <v>23</v>
      </c>
      <c r="E39" s="3">
        <f t="shared" si="1"/>
        <v>2532992.4752240488</v>
      </c>
      <c r="F39" s="3">
        <f t="shared" si="5"/>
        <v>61890.204160170812</v>
      </c>
      <c r="G39" s="3">
        <f t="shared" si="3"/>
        <v>507643.338546941</v>
      </c>
      <c r="H39" s="4">
        <f t="shared" si="0"/>
        <v>3040635.8137709899</v>
      </c>
      <c r="I39" s="3">
        <f t="shared" si="4"/>
        <v>54109.288477155809</v>
      </c>
      <c r="J39" s="4">
        <f t="shared" si="8"/>
        <v>1352732.2119288952</v>
      </c>
      <c r="K39" s="18">
        <f t="shared" si="10"/>
        <v>86189.331700728435</v>
      </c>
      <c r="L39" s="18">
        <f t="shared" si="7"/>
        <v>-29810.160936598186</v>
      </c>
    </row>
    <row r="40" spans="4:12" x14ac:dyDescent="0.25">
      <c r="D40" s="17">
        <v>24</v>
      </c>
      <c r="E40" s="3">
        <f t="shared" si="1"/>
        <v>2773429.9567331066</v>
      </c>
      <c r="F40" s="3">
        <f t="shared" si="5"/>
        <v>63128.008243374228</v>
      </c>
      <c r="G40" s="3">
        <f t="shared" si="3"/>
        <v>552678.37224522687</v>
      </c>
      <c r="H40" s="4">
        <f t="shared" si="0"/>
        <v>3326108.3289783336</v>
      </c>
      <c r="I40" s="3">
        <f t="shared" si="4"/>
        <v>55191.474246698926</v>
      </c>
      <c r="J40" s="4">
        <f t="shared" si="8"/>
        <v>1379786.8561674731</v>
      </c>
      <c r="K40" s="18">
        <f t="shared" si="10"/>
        <v>87913.118334743005</v>
      </c>
      <c r="L40" s="18">
        <f t="shared" si="7"/>
        <v>-30406.36415533015</v>
      </c>
    </row>
    <row r="41" spans="4:12" x14ac:dyDescent="0.25">
      <c r="D41" s="17">
        <v>25</v>
      </c>
      <c r="E41" s="3">
        <f t="shared" si="1"/>
        <v>3031960.6221126658</v>
      </c>
      <c r="F41" s="3">
        <f t="shared" si="5"/>
        <v>64390.568408241714</v>
      </c>
      <c r="G41" s="3">
        <f t="shared" si="3"/>
        <v>600865.85830239276</v>
      </c>
      <c r="H41" s="4">
        <f t="shared" si="0"/>
        <v>3632826.4804150583</v>
      </c>
      <c r="I41" s="3">
        <f t="shared" si="4"/>
        <v>56295.303731632906</v>
      </c>
      <c r="J41" s="4">
        <f t="shared" si="8"/>
        <v>1407382.5932908226</v>
      </c>
      <c r="K41" s="18">
        <f t="shared" si="10"/>
        <v>89671.380701437869</v>
      </c>
      <c r="L41" s="18">
        <f t="shared" si="7"/>
        <v>-31014.491438436751</v>
      </c>
    </row>
    <row r="42" spans="4:12" x14ac:dyDescent="0.25">
      <c r="D42" s="17">
        <v>26</v>
      </c>
      <c r="E42" s="3">
        <f t="shared" si="1"/>
        <v>3309876.245436959</v>
      </c>
      <c r="F42" s="3">
        <f t="shared" si="5"/>
        <v>65678.379776406553</v>
      </c>
      <c r="G42" s="3">
        <f t="shared" si="3"/>
        <v>652426.46838356031</v>
      </c>
      <c r="H42" s="4">
        <f t="shared" si="0"/>
        <v>3962302.7138205194</v>
      </c>
      <c r="I42" s="3">
        <f t="shared" si="4"/>
        <v>57421.209806265564</v>
      </c>
      <c r="J42" s="4">
        <f t="shared" si="8"/>
        <v>1435530.245156639</v>
      </c>
      <c r="K42" s="18">
        <f t="shared" si="10"/>
        <v>91464.808315466624</v>
      </c>
      <c r="L42" s="18">
        <f t="shared" si="7"/>
        <v>-31634.781267205493</v>
      </c>
    </row>
    <row r="43" spans="4:12" x14ac:dyDescent="0.25">
      <c r="D43" s="17">
        <v>27</v>
      </c>
      <c r="E43" s="3">
        <f t="shared" si="1"/>
        <v>3608559.529989481</v>
      </c>
      <c r="F43" s="3">
        <f t="shared" si="5"/>
        <v>66991.947371934686</v>
      </c>
      <c r="G43" s="3">
        <f t="shared" si="3"/>
        <v>707596.32117040956</v>
      </c>
      <c r="H43" s="4">
        <f t="shared" si="0"/>
        <v>4316155.8511598902</v>
      </c>
      <c r="I43" s="3">
        <f t="shared" si="4"/>
        <v>58569.634002390878</v>
      </c>
      <c r="J43" s="4">
        <f t="shared" si="8"/>
        <v>1464240.8500597719</v>
      </c>
      <c r="K43" s="18">
        <f t="shared" si="10"/>
        <v>93294.104481775954</v>
      </c>
      <c r="L43" s="18">
        <f t="shared" si="7"/>
        <v>-32267.47689254961</v>
      </c>
    </row>
    <row r="44" spans="4:12" x14ac:dyDescent="0.25">
      <c r="D44" s="17">
        <v>28</v>
      </c>
      <c r="E44" s="3">
        <f t="shared" si="1"/>
        <v>3929490.4834081181</v>
      </c>
      <c r="F44" s="3">
        <f t="shared" si="5"/>
        <v>68331.786319373379</v>
      </c>
      <c r="G44" s="3">
        <f t="shared" si="3"/>
        <v>766628.06365233823</v>
      </c>
      <c r="H44" s="4">
        <f t="shared" si="0"/>
        <v>4696118.5470604561</v>
      </c>
      <c r="I44" s="3">
        <f t="shared" si="4"/>
        <v>59741.0266824387</v>
      </c>
      <c r="J44" s="4">
        <f t="shared" si="8"/>
        <v>1493525.6670609675</v>
      </c>
      <c r="K44" s="18">
        <f t="shared" si="10"/>
        <v>95159.986571411471</v>
      </c>
      <c r="L44" s="18">
        <f t="shared" si="7"/>
        <v>-32912.826430400608</v>
      </c>
    </row>
    <row r="45" spans="4:12" x14ac:dyDescent="0.25">
      <c r="D45" s="17">
        <v>29</v>
      </c>
      <c r="E45" s="3">
        <f t="shared" si="1"/>
        <v>4274253.2392924475</v>
      </c>
      <c r="F45" s="3">
        <f t="shared" si="5"/>
        <v>69698.422045760846</v>
      </c>
      <c r="G45" s="3">
        <f t="shared" si="3"/>
        <v>829792.02810800192</v>
      </c>
      <c r="H45" s="4">
        <f t="shared" si="0"/>
        <v>5104045.2674004491</v>
      </c>
      <c r="I45" s="3">
        <f t="shared" si="4"/>
        <v>60935.847216087473</v>
      </c>
      <c r="J45" s="4">
        <f t="shared" si="8"/>
        <v>1523396.1804021867</v>
      </c>
      <c r="K45" s="18">
        <f t="shared" si="10"/>
        <v>97063.186302839706</v>
      </c>
      <c r="L45" s="18">
        <f t="shared" si="7"/>
        <v>-33571.082959008614</v>
      </c>
    </row>
    <row r="46" spans="4:12" x14ac:dyDescent="0.25">
      <c r="D46" s="17">
        <v>30</v>
      </c>
      <c r="E46" s="3">
        <f t="shared" si="1"/>
        <v>4644543.3565295953</v>
      </c>
      <c r="F46" s="3">
        <f t="shared" si="5"/>
        <v>71092.390486676071</v>
      </c>
      <c r="G46" s="3">
        <f t="shared" si="3"/>
        <v>897377.47007556213</v>
      </c>
      <c r="H46" s="4">
        <f t="shared" si="0"/>
        <v>5541920.8266051579</v>
      </c>
      <c r="I46" s="3">
        <f t="shared" si="4"/>
        <v>62154.564160409223</v>
      </c>
      <c r="J46" s="4">
        <f t="shared" si="8"/>
        <v>1553864.1040102306</v>
      </c>
      <c r="K46" s="18">
        <f t="shared" si="10"/>
        <v>99004.450028896506</v>
      </c>
      <c r="L46" s="18">
        <f t="shared" si="7"/>
        <v>-34242.504618188788</v>
      </c>
    </row>
    <row r="47" spans="4:12" x14ac:dyDescent="0.25">
      <c r="D47" s="17">
        <v>31</v>
      </c>
      <c r="E47" s="3">
        <f t="shared" si="1"/>
        <v>5042175.6297830762</v>
      </c>
      <c r="F47" s="3">
        <f t="shared" si="5"/>
        <v>72514.238296409589</v>
      </c>
      <c r="G47" s="3">
        <f t="shared" si="3"/>
        <v>969693.89298085158</v>
      </c>
      <c r="H47" s="4">
        <f t="shared" si="0"/>
        <v>6011869.5227639275</v>
      </c>
      <c r="I47" s="3">
        <f t="shared" si="4"/>
        <v>63397.655443617412</v>
      </c>
      <c r="J47" s="4">
        <f t="shared" si="8"/>
        <v>1584941.3860904353</v>
      </c>
      <c r="K47" s="4">
        <f t="shared" ref="K47" si="11">$C$6</f>
        <v>75033</v>
      </c>
      <c r="L47" s="18">
        <f t="shared" si="7"/>
        <v>-60878.893740027001</v>
      </c>
    </row>
    <row r="48" spans="4:12" x14ac:dyDescent="0.25">
      <c r="D48" s="17">
        <v>32</v>
      </c>
      <c r="E48" s="3">
        <f t="shared" si="1"/>
        <v>5469092.4469302297</v>
      </c>
      <c r="F48" s="3">
        <f t="shared" si="5"/>
        <v>73964.523062337787</v>
      </c>
      <c r="G48" s="3">
        <f t="shared" si="3"/>
        <v>1047072.4654895113</v>
      </c>
      <c r="H48" s="4">
        <f t="shared" si="0"/>
        <v>6516164.912419741</v>
      </c>
      <c r="I48" s="3">
        <f t="shared" si="4"/>
        <v>64665.608552489764</v>
      </c>
      <c r="J48" s="4">
        <f t="shared" si="8"/>
        <v>1616640.2138122441</v>
      </c>
      <c r="K48" s="18">
        <f t="shared" ref="K48:K58" si="12">K47*1.02</f>
        <v>76533.66</v>
      </c>
      <c r="L48" s="18">
        <f t="shared" si="7"/>
        <v>-62096.471614827547</v>
      </c>
    </row>
    <row r="49" spans="4:12" x14ac:dyDescent="0.25">
      <c r="D49" s="17">
        <v>33</v>
      </c>
      <c r="E49" s="3">
        <f t="shared" si="1"/>
        <v>5927372.7317389315</v>
      </c>
      <c r="F49" s="3">
        <f t="shared" si="5"/>
        <v>75443.81352358454</v>
      </c>
      <c r="G49" s="3">
        <f t="shared" si="3"/>
        <v>1129867.5380737772</v>
      </c>
      <c r="H49" s="4">
        <f t="shared" si="0"/>
        <v>7057240.2698127087</v>
      </c>
      <c r="I49" s="3">
        <f t="shared" si="4"/>
        <v>65958.920723539559</v>
      </c>
      <c r="J49" s="4">
        <f t="shared" si="8"/>
        <v>1648973.0180884888</v>
      </c>
      <c r="K49" s="18">
        <f t="shared" si="12"/>
        <v>78064.333200000008</v>
      </c>
      <c r="L49" s="18">
        <f t="shared" si="7"/>
        <v>-63338.401047124091</v>
      </c>
    </row>
    <row r="50" spans="4:12" x14ac:dyDescent="0.25">
      <c r="D50" s="17">
        <v>34</v>
      </c>
      <c r="E50" s="3">
        <f t="shared" si="1"/>
        <v>6419241.5127547132</v>
      </c>
      <c r="F50" s="3">
        <f t="shared" si="5"/>
        <v>76952.689794056234</v>
      </c>
      <c r="G50" s="3">
        <f t="shared" si="3"/>
        <v>1218458.2657389417</v>
      </c>
      <c r="H50" s="4">
        <f t="shared" si="0"/>
        <v>7637699.7784936549</v>
      </c>
      <c r="I50" s="3">
        <f t="shared" si="4"/>
        <v>67278.099138010351</v>
      </c>
      <c r="J50" s="4">
        <f t="shared" si="8"/>
        <v>1681952.4784502587</v>
      </c>
      <c r="K50" s="18">
        <f t="shared" si="12"/>
        <v>79625.619864000008</v>
      </c>
      <c r="L50" s="18">
        <f t="shared" si="7"/>
        <v>-64605.169068066578</v>
      </c>
    </row>
    <row r="51" spans="4:12" x14ac:dyDescent="0.25">
      <c r="D51" s="17">
        <v>35</v>
      </c>
      <c r="E51" s="3">
        <f t="shared" si="1"/>
        <v>6947080.1622374812</v>
      </c>
      <c r="F51" s="3">
        <f t="shared" si="5"/>
        <v>78491.743589937367</v>
      </c>
      <c r="G51" s="3">
        <f t="shared" si="3"/>
        <v>1313250.3443406678</v>
      </c>
      <c r="H51" s="4">
        <f t="shared" si="0"/>
        <v>8260330.5065781493</v>
      </c>
      <c r="I51" s="3">
        <f t="shared" si="4"/>
        <v>68623.661120770557</v>
      </c>
      <c r="J51" s="4">
        <f t="shared" si="8"/>
        <v>1715591.5280192639</v>
      </c>
      <c r="K51" s="18">
        <f t="shared" si="12"/>
        <v>81218.132261280014</v>
      </c>
      <c r="L51" s="18">
        <f t="shared" si="7"/>
        <v>-65897.27244942791</v>
      </c>
    </row>
    <row r="52" spans="4:12" x14ac:dyDescent="0.25">
      <c r="D52" s="17">
        <v>36</v>
      </c>
      <c r="E52" s="3">
        <f t="shared" si="1"/>
        <v>7513437.3520558421</v>
      </c>
      <c r="F52" s="3">
        <f t="shared" si="5"/>
        <v>80061.578461736121</v>
      </c>
      <c r="G52" s="3">
        <f t="shared" si="3"/>
        <v>1414677.8684445147</v>
      </c>
      <c r="H52" s="4">
        <f t="shared" si="0"/>
        <v>8928115.2205003574</v>
      </c>
      <c r="I52" s="3">
        <f t="shared" si="4"/>
        <v>69996.134343185971</v>
      </c>
      <c r="J52" s="4">
        <f t="shared" si="8"/>
        <v>1749903.3585796494</v>
      </c>
      <c r="K52" s="18">
        <f t="shared" si="12"/>
        <v>82842.494906505613</v>
      </c>
      <c r="L52" s="18">
        <f t="shared" si="7"/>
        <v>-67215.217898416478</v>
      </c>
    </row>
    <row r="53" spans="4:12" x14ac:dyDescent="0.25">
      <c r="D53" s="17">
        <v>37</v>
      </c>
      <c r="E53" s="3">
        <f t="shared" si="1"/>
        <v>8121040.7767307218</v>
      </c>
      <c r="F53" s="3">
        <f t="shared" si="5"/>
        <v>81662.810030970839</v>
      </c>
      <c r="G53" s="3">
        <f t="shared" si="3"/>
        <v>1523205.3192356308</v>
      </c>
      <c r="H53" s="4">
        <f t="shared" si="0"/>
        <v>9644246.0959663521</v>
      </c>
      <c r="I53" s="3">
        <f t="shared" si="4"/>
        <v>71396.057030049691</v>
      </c>
      <c r="J53" s="4">
        <f t="shared" si="8"/>
        <v>1784901.4257512423</v>
      </c>
      <c r="K53" s="18">
        <f t="shared" si="12"/>
        <v>84499.344804635723</v>
      </c>
      <c r="L53" s="18">
        <f t="shared" si="7"/>
        <v>-68559.522256384807</v>
      </c>
    </row>
    <row r="54" spans="4:12" x14ac:dyDescent="0.25">
      <c r="D54" s="17">
        <v>38</v>
      </c>
      <c r="E54" s="3">
        <f t="shared" si="1"/>
        <v>8772809.6973334625</v>
      </c>
      <c r="F54" s="3">
        <f t="shared" si="5"/>
        <v>83296.066231590259</v>
      </c>
      <c r="G54" s="3">
        <f t="shared" si="3"/>
        <v>1639329.6915821251</v>
      </c>
      <c r="H54" s="4">
        <f t="shared" si="0"/>
        <v>10412139.388915587</v>
      </c>
      <c r="I54" s="3">
        <f t="shared" si="4"/>
        <v>72823.978170650691</v>
      </c>
      <c r="J54" s="4">
        <f t="shared" si="8"/>
        <v>1820599.4542662671</v>
      </c>
      <c r="K54" s="18">
        <f t="shared" si="12"/>
        <v>86189.331700728435</v>
      </c>
      <c r="L54" s="18">
        <f t="shared" si="7"/>
        <v>-69930.712701512515</v>
      </c>
    </row>
    <row r="55" spans="4:12" x14ac:dyDescent="0.25">
      <c r="D55" s="17">
        <v>39</v>
      </c>
      <c r="E55" s="3">
        <f t="shared" si="1"/>
        <v>9471868.3637030274</v>
      </c>
      <c r="F55" s="3">
        <f t="shared" si="5"/>
        <v>84961.98755622207</v>
      </c>
      <c r="G55" s="3">
        <f t="shared" si="3"/>
        <v>1763582.769992874</v>
      </c>
      <c r="H55" s="4">
        <f t="shared" si="0"/>
        <v>11235451.1336959</v>
      </c>
      <c r="I55" s="3">
        <f t="shared" si="4"/>
        <v>74280.457734063704</v>
      </c>
      <c r="J55" s="4">
        <f t="shared" si="8"/>
        <v>1857011.4433515926</v>
      </c>
      <c r="K55" s="18">
        <f t="shared" si="12"/>
        <v>87913.118334743005</v>
      </c>
      <c r="L55" s="18">
        <f t="shared" si="7"/>
        <v>-71329.326955542769</v>
      </c>
    </row>
    <row r="56" spans="4:12" x14ac:dyDescent="0.25">
      <c r="D56" s="17">
        <v>40</v>
      </c>
      <c r="E56" s="3">
        <f t="shared" si="1"/>
        <v>10221560.376469586</v>
      </c>
      <c r="F56" s="3">
        <f t="shared" si="5"/>
        <v>86661.227307346519</v>
      </c>
      <c r="G56" s="3">
        <f t="shared" si="3"/>
        <v>1896533.5638923752</v>
      </c>
      <c r="H56" s="4">
        <f t="shared" si="0"/>
        <v>12118093.940361962</v>
      </c>
      <c r="I56" s="3">
        <f t="shared" si="4"/>
        <v>75766.066888744986</v>
      </c>
      <c r="J56" s="4">
        <f t="shared" si="8"/>
        <v>1894151.6722186247</v>
      </c>
      <c r="K56" s="18">
        <f t="shared" si="12"/>
        <v>89671.380701437869</v>
      </c>
      <c r="L56" s="18">
        <f t="shared" si="7"/>
        <v>-72755.913494653636</v>
      </c>
    </row>
    <row r="57" spans="4:12" x14ac:dyDescent="0.25">
      <c r="D57" s="17">
        <v>41</v>
      </c>
      <c r="E57" s="3">
        <f t="shared" si="1"/>
        <v>11025464.054675952</v>
      </c>
      <c r="F57" s="3">
        <f t="shared" si="5"/>
        <v>88394.451853493447</v>
      </c>
      <c r="G57" s="3">
        <f t="shared" si="3"/>
        <v>2038790.9133648416</v>
      </c>
      <c r="H57" s="4">
        <f t="shared" si="0"/>
        <v>13064254.968040794</v>
      </c>
      <c r="I57" s="3">
        <f t="shared" si="4"/>
        <v>77281.388226519892</v>
      </c>
      <c r="J57" s="4">
        <f t="shared" si="8"/>
        <v>1932034.7056629972</v>
      </c>
      <c r="K57" s="18">
        <f t="shared" si="12"/>
        <v>91464.808315466624</v>
      </c>
      <c r="L57" s="18">
        <f t="shared" si="7"/>
        <v>-74211.031764546715</v>
      </c>
    </row>
    <row r="58" spans="4:12" x14ac:dyDescent="0.25">
      <c r="D58" s="17">
        <v>42</v>
      </c>
      <c r="E58" s="3">
        <f t="shared" si="1"/>
        <v>11887408.879393833</v>
      </c>
      <c r="F58" s="3">
        <f t="shared" si="5"/>
        <v>90162.340890563311</v>
      </c>
      <c r="G58" s="3">
        <f t="shared" si="3"/>
        <v>2191006.2773003806</v>
      </c>
      <c r="H58" s="4">
        <f t="shared" si="0"/>
        <v>14078415.156694213</v>
      </c>
      <c r="I58" s="3">
        <f t="shared" si="4"/>
        <v>78827.015991050284</v>
      </c>
      <c r="J58" s="4">
        <f t="shared" si="8"/>
        <v>1970675.3997762571</v>
      </c>
      <c r="K58" s="18">
        <f t="shared" si="12"/>
        <v>93294.104481775954</v>
      </c>
      <c r="L58" s="18">
        <f t="shared" si="7"/>
        <v>-75695.252399837642</v>
      </c>
    </row>
  </sheetData>
  <conditionalFormatting sqref="E16:E58">
    <cfRule type="cellIs" dxfId="0" priority="8" operator="lessThan">
      <formula>0</formula>
    </cfRule>
  </conditionalFormatting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E1497-F111-4137-941F-46A725FA61B2}">
  <dimension ref="B2:K30"/>
  <sheetViews>
    <sheetView topLeftCell="A16" workbookViewId="0">
      <selection activeCell="G33" sqref="G33"/>
    </sheetView>
  </sheetViews>
  <sheetFormatPr defaultRowHeight="15" x14ac:dyDescent="0.25"/>
  <sheetData>
    <row r="2" spans="11:11" x14ac:dyDescent="0.25">
      <c r="K2" t="s">
        <v>14</v>
      </c>
    </row>
    <row r="3" spans="11:11" x14ac:dyDescent="0.25">
      <c r="K3" t="s">
        <v>15</v>
      </c>
    </row>
    <row r="21" spans="2:2" x14ac:dyDescent="0.25">
      <c r="B21" t="s">
        <v>16</v>
      </c>
    </row>
    <row r="22" spans="2:2" x14ac:dyDescent="0.25">
      <c r="B22" t="s">
        <v>17</v>
      </c>
    </row>
    <row r="23" spans="2:2" x14ac:dyDescent="0.25">
      <c r="B23" t="s">
        <v>25</v>
      </c>
    </row>
    <row r="25" spans="2:2" x14ac:dyDescent="0.25">
      <c r="B25" t="s">
        <v>19</v>
      </c>
    </row>
    <row r="26" spans="2:2" x14ac:dyDescent="0.25">
      <c r="B26" t="s">
        <v>21</v>
      </c>
    </row>
    <row r="27" spans="2:2" x14ac:dyDescent="0.25">
      <c r="B27" t="s">
        <v>20</v>
      </c>
    </row>
    <row r="28" spans="2:2" x14ac:dyDescent="0.25">
      <c r="B28" t="s">
        <v>22</v>
      </c>
    </row>
    <row r="29" spans="2:2" x14ac:dyDescent="0.25">
      <c r="B29" t="s">
        <v>23</v>
      </c>
    </row>
    <row r="30" spans="2:2" x14ac:dyDescent="0.25">
      <c r="B30" t="s">
        <v>24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15 years</vt:lpstr>
      <vt:lpstr>20 years</vt:lpstr>
      <vt:lpstr>Tax Calcs</vt:lpstr>
      <vt:lpstr>Std FIRE</vt:lpstr>
      <vt:lpstr>Notes</vt:lpstr>
    </vt:vector>
  </TitlesOfParts>
  <Company>RioTinto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Poh, Ashley (RTIO)</dc:creator>
  <cp:lastModifiedBy>FFE</cp:lastModifiedBy>
  <dcterms:created xsi:type="dcterms:W3CDTF">2021-04-06T03:00:23Z</dcterms:created>
  <dcterms:modified xsi:type="dcterms:W3CDTF">2021-04-14T12:04:30Z</dcterms:modified>
</cp:coreProperties>
</file>